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2" r:id="rId26"/>
  </sheets>
  <externalReferences>
    <externalReference r:id="rId27"/>
    <externalReference r:id="rId2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19">'ფორმა 9.4'!$A$1:$K$112</definedName>
    <definedName name="_xlnm.Print_Area" localSheetId="20">'ფორმა 9.5'!$A$1:$L$35</definedName>
    <definedName name="_xlnm.Print_Area" localSheetId="21">'ფორმა 9.6'!$A$1:$I$55</definedName>
    <definedName name="_xlnm.Print_Area" localSheetId="14">'ფორმა N 8.1'!$A$1:$H$86</definedName>
    <definedName name="_xlnm.Print_Area" localSheetId="22">'ფორმა N 9.7'!$A$1:$I$115</definedName>
    <definedName name="_xlnm.Print_Area" localSheetId="0">'ფორმა N1'!$A$1:$M$46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N4.1'!$A$1:$E$48</definedName>
    <definedName name="_xlnm.Print_Area" localSheetId="6">'ფორმა N4.3'!$A$1:$I$257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F82" i="33" l="1"/>
  <c r="E82" i="33"/>
  <c r="F81" i="33"/>
  <c r="E81" i="33"/>
  <c r="F80" i="33"/>
  <c r="E80" i="33"/>
  <c r="F79" i="33"/>
  <c r="E79" i="33"/>
  <c r="F78" i="33"/>
  <c r="E78" i="33"/>
  <c r="F77" i="33"/>
  <c r="E77" i="33"/>
  <c r="F76" i="33"/>
  <c r="E76" i="33"/>
  <c r="F75" i="33"/>
  <c r="E75" i="33"/>
  <c r="F74" i="33"/>
  <c r="E74" i="33"/>
  <c r="F73" i="33"/>
  <c r="E73" i="33"/>
  <c r="F72" i="33"/>
  <c r="E72" i="33"/>
  <c r="F71" i="33"/>
  <c r="E71" i="33"/>
  <c r="F70" i="33"/>
  <c r="E70" i="33"/>
  <c r="F69" i="33"/>
  <c r="E69" i="33"/>
  <c r="F68" i="33"/>
  <c r="E68" i="33"/>
  <c r="F67" i="33"/>
  <c r="E67" i="33"/>
  <c r="F66" i="33"/>
  <c r="E66" i="33"/>
  <c r="F65" i="33"/>
  <c r="E65" i="33"/>
  <c r="F64" i="33"/>
  <c r="E64" i="33"/>
  <c r="F63" i="33"/>
  <c r="E63" i="33"/>
  <c r="F62" i="33"/>
  <c r="E62" i="33"/>
  <c r="F61" i="33"/>
  <c r="E61" i="33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F52" i="33"/>
  <c r="E52" i="33"/>
  <c r="F51" i="33"/>
  <c r="E51" i="33"/>
  <c r="F50" i="33"/>
  <c r="E50" i="33"/>
  <c r="F49" i="33"/>
  <c r="E49" i="33"/>
  <c r="F48" i="33"/>
  <c r="E48" i="33"/>
  <c r="F47" i="33"/>
  <c r="F46" i="33"/>
  <c r="F45" i="33"/>
  <c r="E45" i="33"/>
  <c r="F44" i="33"/>
  <c r="E44" i="33"/>
  <c r="F43" i="33"/>
  <c r="E43" i="33"/>
  <c r="F42" i="33"/>
  <c r="E42" i="33"/>
  <c r="F41" i="33"/>
  <c r="E41" i="33"/>
  <c r="F40" i="33"/>
  <c r="E40" i="33"/>
  <c r="F39" i="33"/>
  <c r="E39" i="33"/>
  <c r="F38" i="33"/>
  <c r="E38" i="33"/>
  <c r="F37" i="33"/>
  <c r="F36" i="33"/>
  <c r="E36" i="33"/>
  <c r="F35" i="33"/>
  <c r="E35" i="33"/>
  <c r="F34" i="33"/>
  <c r="E34" i="33"/>
  <c r="F33" i="33"/>
  <c r="E33" i="33"/>
  <c r="F32" i="33"/>
  <c r="F31" i="33"/>
  <c r="E31" i="33"/>
  <c r="F30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1" i="33"/>
  <c r="E11" i="33"/>
  <c r="F10" i="33"/>
  <c r="F9" i="33"/>
  <c r="E9" i="33"/>
  <c r="H200" i="30"/>
  <c r="D31" i="26" l="1"/>
  <c r="C31" i="26"/>
  <c r="D74" i="40" l="1"/>
  <c r="D12" i="40" l="1"/>
  <c r="A4" i="30"/>
  <c r="I99" i="35"/>
  <c r="F100" i="35"/>
  <c r="I100" i="35" s="1"/>
  <c r="I90" i="35"/>
  <c r="I91" i="35"/>
  <c r="I92" i="35"/>
  <c r="I93" i="35"/>
  <c r="I94" i="35"/>
  <c r="I95" i="35"/>
  <c r="I96" i="35"/>
  <c r="I97" i="35"/>
  <c r="I98" i="35"/>
  <c r="I81" i="35"/>
  <c r="I82" i="35"/>
  <c r="I83" i="35"/>
  <c r="I84" i="35"/>
  <c r="I85" i="35"/>
  <c r="I86" i="35"/>
  <c r="I87" i="35"/>
  <c r="I88" i="35"/>
  <c r="I89" i="35"/>
  <c r="I76" i="35"/>
  <c r="I77" i="35"/>
  <c r="I78" i="35"/>
  <c r="I79" i="35"/>
  <c r="I80" i="35"/>
  <c r="J11" i="10" l="1"/>
  <c r="J12" i="10"/>
  <c r="J13" i="10"/>
  <c r="J16" i="10"/>
  <c r="J18" i="10"/>
  <c r="J20" i="10"/>
  <c r="J21" i="10"/>
  <c r="J22" i="10"/>
  <c r="J23" i="10"/>
  <c r="I11" i="10"/>
  <c r="I12" i="10"/>
  <c r="I13" i="10"/>
  <c r="I15" i="10"/>
  <c r="I16" i="10"/>
  <c r="I18" i="10"/>
  <c r="I20" i="10"/>
  <c r="I21" i="10"/>
  <c r="I22" i="10"/>
  <c r="I23" i="10"/>
  <c r="I75" i="35" l="1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5" i="35"/>
  <c r="I46" i="35"/>
  <c r="I47" i="35"/>
  <c r="I44" i="35"/>
  <c r="I13" i="9"/>
  <c r="D36" i="8"/>
  <c r="C36" i="8"/>
  <c r="C26" i="7"/>
  <c r="I12" i="9" l="1"/>
  <c r="I11" i="9"/>
  <c r="H53" i="18" l="1"/>
  <c r="I10" i="9" l="1"/>
  <c r="D75" i="8"/>
  <c r="C75" i="8"/>
  <c r="D26" i="7" l="1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C12" i="40"/>
  <c r="A6" i="40"/>
  <c r="C15" i="40" l="1"/>
  <c r="C11" i="40" s="1"/>
  <c r="D15" i="40"/>
  <c r="D11" i="40" s="1"/>
  <c r="C46" i="8"/>
  <c r="H39" i="10" l="1"/>
  <c r="H36" i="10" s="1"/>
  <c r="H32" i="10"/>
  <c r="H24" i="10"/>
  <c r="H19" i="10"/>
  <c r="H17" i="10"/>
  <c r="H14" i="10"/>
  <c r="A4" i="39" l="1"/>
  <c r="D14" i="8"/>
  <c r="D46" i="8"/>
  <c r="A4" i="35" l="1"/>
  <c r="H34" i="34" l="1"/>
  <c r="G34" i="34"/>
  <c r="A4" i="34"/>
  <c r="A4" i="33" l="1"/>
  <c r="A4" i="32"/>
  <c r="H34" i="29" l="1"/>
  <c r="G34" i="29"/>
  <c r="A4" i="29"/>
  <c r="A5" i="28" l="1"/>
  <c r="D57" i="8"/>
  <c r="C57" i="8"/>
  <c r="D25" i="27"/>
  <c r="C25" i="27"/>
  <c r="A5" i="27"/>
  <c r="A5" i="26"/>
  <c r="G11" i="18" l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10" i="18"/>
  <c r="A4" i="18"/>
  <c r="G41" i="18" l="1"/>
  <c r="G42" i="18" s="1"/>
  <c r="G43" i="18" l="1"/>
  <c r="D52" i="8"/>
  <c r="G44" i="18" l="1"/>
  <c r="G53" i="18" s="1"/>
  <c r="H10" i="10"/>
  <c r="H9" i="10" s="1"/>
  <c r="G45" i="18" l="1"/>
  <c r="A5" i="9"/>
  <c r="G46" i="18" l="1"/>
  <c r="G54" i="18"/>
  <c r="G64" i="18" s="1"/>
  <c r="G65" i="18" s="1"/>
  <c r="G66" i="18" s="1"/>
  <c r="G67" i="18" s="1"/>
  <c r="G68" i="18" s="1"/>
  <c r="G69" i="18" s="1"/>
  <c r="G70" i="18" s="1"/>
  <c r="G71" i="18" s="1"/>
  <c r="C64" i="12"/>
  <c r="D64" i="12"/>
  <c r="D10" i="8"/>
  <c r="C10" i="8"/>
  <c r="G47" i="18" l="1"/>
  <c r="G55" i="18"/>
  <c r="A4" i="17"/>
  <c r="A4" i="16"/>
  <c r="A4" i="10"/>
  <c r="A4" i="9"/>
  <c r="A4" i="12"/>
  <c r="A5" i="5"/>
  <c r="A4" i="8"/>
  <c r="A4" i="7"/>
  <c r="G48" i="18" l="1"/>
  <c r="G56" i="18"/>
  <c r="J24" i="10"/>
  <c r="G24" i="10"/>
  <c r="F24" i="10"/>
  <c r="E24" i="10"/>
  <c r="D24" i="10"/>
  <c r="C24" i="10"/>
  <c r="B24" i="10"/>
  <c r="I24" i="10" s="1"/>
  <c r="G49" i="18" l="1"/>
  <c r="G57" i="18"/>
  <c r="D71" i="8"/>
  <c r="C71" i="8"/>
  <c r="G50" i="18" l="1"/>
  <c r="G59" i="18" s="1"/>
  <c r="G58" i="18"/>
  <c r="I39" i="10"/>
  <c r="I36" i="10" s="1"/>
  <c r="I32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4" i="10"/>
  <c r="C10" i="10"/>
  <c r="J10" i="10" s="1"/>
  <c r="J14" i="10" l="1"/>
  <c r="C17" i="10"/>
  <c r="J17" i="10" s="1"/>
  <c r="J19" i="10"/>
  <c r="G51" i="18"/>
  <c r="G60" i="18"/>
  <c r="E9" i="10"/>
  <c r="G9" i="10"/>
  <c r="C9" i="10"/>
  <c r="J9" i="10" s="1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F14" i="10"/>
  <c r="D14" i="10"/>
  <c r="B14" i="10"/>
  <c r="I14" i="10" s="1"/>
  <c r="F10" i="10"/>
  <c r="D10" i="10"/>
  <c r="B10" i="10"/>
  <c r="I10" i="10" s="1"/>
  <c r="D17" i="5"/>
  <c r="C17" i="5"/>
  <c r="D14" i="5"/>
  <c r="C14" i="5"/>
  <c r="D11" i="5"/>
  <c r="D10" i="5" s="1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C10" i="3" s="1"/>
  <c r="D12" i="3"/>
  <c r="C13" i="8" l="1"/>
  <c r="B17" i="10"/>
  <c r="I17" i="10" s="1"/>
  <c r="I19" i="10"/>
  <c r="G61" i="18"/>
  <c r="G52" i="18"/>
  <c r="G62" i="18" s="1"/>
  <c r="G63" i="18" s="1"/>
  <c r="C10" i="5"/>
  <c r="C9" i="8"/>
  <c r="D13" i="8"/>
  <c r="D9" i="8" s="1"/>
  <c r="C25" i="3"/>
  <c r="D10" i="3"/>
  <c r="B9" i="10"/>
  <c r="D10" i="12"/>
  <c r="D44" i="12"/>
  <c r="D25" i="3"/>
  <c r="C10" i="12"/>
  <c r="C44" i="12"/>
  <c r="D9" i="10"/>
  <c r="F9" i="10"/>
  <c r="I9" i="10" l="1"/>
  <c r="C9" i="3"/>
  <c r="D9" i="3"/>
</calcChain>
</file>

<file path=xl/sharedStrings.xml><?xml version="1.0" encoding="utf-8"?>
<sst xmlns="http://schemas.openxmlformats.org/spreadsheetml/2006/main" count="3256" uniqueCount="1211">
  <si>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</si>
  <si>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</si>
  <si>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</si>
  <si>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</si>
  <si>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</si>
  <si>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</si>
  <si>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</si>
  <si>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</si>
  <si>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</si>
  <si>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</si>
  <si>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</si>
  <si>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</si>
  <si>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</si>
  <si>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</si>
  <si>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</si>
  <si>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</si>
  <si>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</si>
  <si>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</si>
  <si>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</si>
  <si>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</si>
  <si>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</si>
  <si>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</si>
  <si>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</si>
  <si>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</si>
  <si>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</si>
  <si>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</si>
  <si>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</si>
  <si>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</si>
  <si>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</si>
  <si>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</si>
  <si>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</si>
  <si>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</si>
  <si>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</si>
  <si>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</si>
  <si>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</si>
  <si>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</si>
  <si>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</si>
  <si>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</si>
  <si>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</si>
  <si>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</si>
  <si>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</si>
  <si>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</si>
  <si>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</si>
  <si>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</si>
  <si>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</si>
  <si>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</si>
  <si>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</si>
  <si>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</si>
  <si>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</si>
  <si>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</si>
  <si>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</si>
  <si>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</si>
  <si>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</si>
  <si>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</si>
  <si>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</si>
  <si>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</si>
  <si>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</si>
  <si>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</si>
  <si>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</si>
  <si>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</si>
  <si>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</si>
  <si>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</si>
  <si>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</si>
  <si>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</si>
  <si>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</si>
  <si>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</si>
  <si>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</si>
  <si>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</si>
  <si>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</si>
  <si>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</si>
  <si>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</si>
  <si>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</si>
  <si>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</si>
  <si>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</si>
  <si>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</si>
  <si>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</si>
  <si>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</si>
  <si>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</si>
  <si>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</si>
  <si>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</si>
  <si>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</si>
  <si>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</si>
  <si>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</si>
  <si>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</si>
  <si>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</si>
  <si>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</si>
  <si>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</si>
  <si>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</si>
  <si>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</si>
  <si>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</si>
  <si>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</si>
  <si>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</si>
  <si>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</si>
  <si>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</si>
  <si>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</si>
  <si>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</si>
  <si>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</si>
  <si>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</si>
  <si>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</si>
  <si>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</si>
  <si>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</si>
  <si>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</si>
  <si>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</si>
  <si>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</si>
  <si>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</si>
  <si>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</si>
  <si>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</si>
  <si>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</si>
  <si>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</si>
  <si>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</si>
  <si>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</si>
  <si>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</si>
  <si>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</si>
  <si>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</si>
  <si>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</si>
  <si>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</si>
  <si>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</si>
  <si>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</si>
  <si>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</si>
  <si>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</si>
  <si>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</si>
  <si>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</si>
  <si>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</si>
  <si>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</si>
  <si>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</si>
  <si>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</si>
  <si>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</si>
  <si>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</si>
  <si>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</si>
  <si>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</si>
  <si>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</si>
  <si>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</si>
  <si>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</si>
  <si>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</si>
  <si>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</si>
  <si>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</si>
  <si>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</si>
  <si>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</si>
  <si>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</si>
  <si>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</si>
  <si>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</si>
  <si>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</si>
  <si>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</si>
  <si>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</si>
  <si>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</si>
  <si>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</si>
  <si>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</si>
  <si>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</si>
  <si>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</si>
  <si>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</si>
  <si>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</si>
  <si>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</si>
  <si>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</si>
  <si>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</si>
  <si>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</si>
  <si>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</si>
  <si>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</si>
  <si>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</si>
  <si>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</si>
  <si>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</si>
  <si>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</si>
  <si>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</si>
  <si>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</si>
  <si>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</si>
  <si>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</si>
  <si>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</si>
  <si>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</si>
  <si>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</si>
  <si>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</si>
  <si>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</si>
  <si>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</si>
  <si>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</si>
  <si>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</si>
  <si>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</si>
  <si>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</si>
  <si>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</si>
  <si>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</si>
  <si>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</si>
  <si>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</si>
  <si>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</si>
  <si>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</si>
  <si>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</si>
  <si>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</si>
  <si>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</si>
  <si>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</si>
  <si>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</si>
  <si>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</si>
  <si>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</si>
  <si>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</si>
  <si>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</si>
  <si>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</si>
  <si>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</si>
  <si>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</si>
  <si>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</si>
  <si>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</si>
  <si>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</si>
  <si>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</si>
  <si>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</si>
  <si>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</si>
  <si>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</si>
  <si>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</si>
  <si>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</si>
  <si>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</si>
  <si>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</si>
  <si>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</si>
  <si>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</si>
  <si>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</si>
  <si>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</si>
  <si>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</si>
  <si>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</si>
  <si>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</si>
  <si>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</si>
  <si>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</si>
  <si>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</si>
  <si>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</si>
  <si>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</si>
  <si>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</si>
  <si>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</si>
  <si>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</si>
  <si>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</si>
  <si>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</si>
  <si>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</si>
  <si>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</si>
  <si>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</si>
  <si>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</si>
  <si>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</si>
  <si>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</si>
  <si>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</si>
  <si>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</si>
  <si>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</si>
  <si>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</si>
  <si>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</si>
  <si>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</si>
  <si>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</si>
  <si>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</si>
  <si>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</si>
  <si>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</si>
  <si>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</si>
  <si>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</si>
  <si>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</si>
  <si>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</si>
  <si>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</si>
  <si>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</si>
  <si>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</si>
  <si>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</si>
  <si>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</si>
  <si>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</si>
  <si>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</si>
  <si>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</si>
  <si>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</si>
  <si>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</si>
  <si>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</si>
  <si>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</si>
  <si>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</si>
  <si>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</si>
  <si>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</si>
  <si>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</si>
  <si>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</si>
  <si>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</si>
  <si>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</si>
  <si>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</si>
  <si>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</si>
  <si>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</si>
  <si>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</si>
  <si>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</si>
  <si>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</si>
  <si>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</si>
  <si>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</si>
  <si>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</si>
  <si>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</si>
  <si>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</si>
  <si>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</si>
  <si>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</si>
  <si>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</si>
  <si>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</si>
  <si>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</si>
  <si>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</si>
  <si>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</si>
  <si>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</si>
  <si>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</si>
  <si>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</si>
  <si>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</si>
  <si>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</si>
  <si>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</si>
  <si>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</si>
  <si>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</si>
  <si>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</si>
  <si>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</si>
  <si>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</si>
  <si>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</si>
  <si>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</si>
  <si>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</si>
  <si>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</si>
  <si>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</si>
  <si>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</si>
  <si>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</si>
  <si>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</si>
  <si>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</si>
  <si>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</si>
  <si>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</si>
  <si>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</si>
  <si>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</si>
  <si>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</si>
  <si>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</si>
  <si>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</si>
  <si>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</si>
  <si>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</si>
  <si>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</si>
  <si>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</si>
  <si>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</si>
  <si>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</si>
  <si>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</si>
  <si>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</si>
  <si>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</si>
  <si>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</si>
  <si>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</si>
  <si>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</si>
  <si>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</si>
  <si>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</si>
  <si>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</si>
  <si>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</si>
  <si>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</si>
  <si>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</si>
  <si>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</si>
  <si>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</si>
  <si>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</si>
  <si>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</si>
  <si>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</si>
  <si>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</si>
  <si>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</si>
  <si>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</si>
  <si>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</si>
  <si>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</si>
  <si>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</si>
  <si>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</si>
  <si>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</si>
  <si>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</si>
  <si>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</si>
  <si>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</si>
  <si>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</si>
  <si>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</si>
  <si>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</si>
  <si>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</si>
  <si>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</si>
  <si>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</si>
  <si>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</si>
  <si>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</si>
  <si>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</si>
  <si>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</si>
  <si>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</si>
  <si>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</si>
  <si>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</si>
  <si>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</si>
  <si>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</si>
  <si>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</si>
  <si>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</si>
  <si>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</si>
  <si>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</si>
  <si>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</si>
  <si>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</si>
  <si>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</si>
  <si>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</si>
  <si>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</si>
  <si>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</si>
  <si>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</si>
  <si>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</si>
  <si>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</si>
  <si>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</si>
  <si>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</si>
  <si>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</si>
  <si>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</si>
  <si>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</si>
  <si>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</si>
  <si>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</si>
  <si>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</si>
  <si>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</si>
  <si>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</si>
  <si>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</si>
  <si>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</si>
  <si>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</si>
  <si>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</si>
  <si>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</si>
  <si>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</si>
  <si>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</si>
  <si>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</si>
  <si>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</si>
  <si>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</si>
  <si>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</si>
  <si>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</si>
  <si>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</si>
  <si>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</si>
  <si>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</si>
  <si>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</si>
  <si>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</si>
  <si>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</si>
  <si>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</si>
  <si>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</si>
  <si>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</si>
  <si>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</si>
  <si>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</si>
  <si>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</si>
  <si>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</si>
  <si>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</si>
  <si>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</si>
  <si>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</si>
  <si>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</si>
  <si>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</si>
  <si>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</si>
  <si>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</si>
  <si>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</si>
  <si>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</si>
  <si>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</si>
  <si>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</si>
  <si>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</si>
  <si>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</si>
  <si>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</si>
  <si>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</si>
  <si>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</si>
  <si>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</si>
  <si>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</si>
  <si>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</si>
  <si>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</si>
  <si>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</si>
  <si>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</si>
  <si>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</si>
  <si>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</si>
  <si>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</si>
  <si>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</si>
  <si>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</si>
  <si>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</si>
  <si>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</si>
  <si>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</si>
  <si>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</si>
  <si>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</si>
  <si>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</si>
  <si>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</si>
  <si>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</si>
  <si>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</si>
  <si>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</si>
  <si>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</si>
  <si>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</si>
  <si>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</si>
  <si>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</si>
  <si>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</si>
  <si>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</si>
  <si>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</si>
  <si>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</si>
  <si>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</si>
  <si>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</si>
  <si>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</si>
  <si>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</si>
  <si>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</si>
  <si>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</si>
  <si>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</si>
  <si>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</si>
  <si>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</si>
  <si>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</si>
  <si>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</si>
  <si>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</si>
  <si>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</si>
  <si>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</si>
  <si>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</si>
  <si>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</si>
  <si>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</si>
  <si>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</si>
  <si>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</si>
  <si>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</si>
  <si>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</si>
  <si>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</si>
  <si>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</si>
  <si>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</si>
  <si>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</si>
  <si>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ტელევიზორი</t>
  </si>
  <si>
    <t>SANIO-24K50 საკიდით SUREFIX142</t>
  </si>
  <si>
    <t>შპს „მენეჯმენტ სერვისი“</t>
  </si>
  <si>
    <t>LCD ტელევიზორი</t>
  </si>
  <si>
    <t>Toshiba 24HV10 საკიდით BR 21-42 FA</t>
  </si>
  <si>
    <t xml:space="preserve">  “    -     “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</si>
  <si>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</si>
  <si>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</si>
  <si>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</si>
  <si>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</si>
  <si>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</t>
  </si>
  <si>
    <t>SP-S110</t>
  </si>
  <si>
    <t>ელ. გამათბობელი</t>
  </si>
  <si>
    <t>ელექტრო სანათი</t>
  </si>
  <si>
    <t>იუ-პი-ესი</t>
  </si>
  <si>
    <t>UPS 600VA</t>
  </si>
  <si>
    <t>კარადა</t>
  </si>
  <si>
    <t>კომპიუტერის კლავიატურა</t>
  </si>
  <si>
    <t>KB06XePS2 და მაუსი 120usb</t>
  </si>
  <si>
    <t>კომპიუტერის მონიტორი</t>
  </si>
  <si>
    <t>Pilips 20 Ied 206v 3isb</t>
  </si>
  <si>
    <t>Samsung B2030N20</t>
  </si>
  <si>
    <t>კომპიუტერის პროცესორი</t>
  </si>
  <si>
    <t>Ca/PH LAZERJET pro M1214nfh</t>
  </si>
  <si>
    <t>ლაითბოგსები</t>
  </si>
  <si>
    <t>მაგიდა</t>
  </si>
  <si>
    <t xml:space="preserve">მაგიდა </t>
  </si>
  <si>
    <t>750*1420*720მმ</t>
  </si>
  <si>
    <t>ერთფრთიანი საოფისე</t>
  </si>
  <si>
    <t>ნახევრად მრგვალი</t>
  </si>
  <si>
    <t>ოვალური</t>
  </si>
  <si>
    <t>სათათბირო</t>
  </si>
  <si>
    <t>პრინტერი</t>
  </si>
  <si>
    <t>HP Lazerjet Pro M 1214NFH კაბელით USB</t>
  </si>
  <si>
    <t>HP Lazerjet Pro M 1536dnf კაბელით USB</t>
  </si>
  <si>
    <t>სკამი</t>
  </si>
  <si>
    <t>საოფისე</t>
  </si>
  <si>
    <t>საკიდი</t>
  </si>
  <si>
    <t>ტანსაცმლის</t>
  </si>
  <si>
    <t>ტრიბუნა</t>
  </si>
  <si>
    <t>ტუმბო</t>
  </si>
  <si>
    <t>600*450*450მმ</t>
  </si>
  <si>
    <t>ფასადიანი მინით 1860*1000*380მმ</t>
  </si>
  <si>
    <t>ფლანგშტოკი</t>
  </si>
  <si>
    <t>ცეცხლმაქრი</t>
  </si>
  <si>
    <t>ფხვნილოვანი ABC</t>
  </si>
  <si>
    <t>ჯამი:</t>
  </si>
  <si>
    <t>01/11/11 -01/11-2012</t>
  </si>
  <si>
    <t>მოქალაქეთა პოლიტიკური გაერთიანება-მოძრაობა „მრეწვწლობა გადააჩენს საქართველო“ს</t>
  </si>
  <si>
    <t>11/01/11-11/01/12</t>
  </si>
  <si>
    <t>ფულადი შემოწირულობა</t>
  </si>
  <si>
    <t>გიორგი</t>
  </si>
  <si>
    <t>თოფაძე</t>
  </si>
  <si>
    <t>თიბისი</t>
  </si>
  <si>
    <t>GE16TB5688536010100050</t>
  </si>
  <si>
    <t>25.06.2012</t>
  </si>
  <si>
    <t>50500</t>
  </si>
  <si>
    <t>1200</t>
  </si>
  <si>
    <t>GE71TB4633336010100022</t>
  </si>
  <si>
    <t>06/21/2012</t>
  </si>
  <si>
    <t>GE71TB 4633336010100022</t>
  </si>
  <si>
    <t>06/29/2012</t>
  </si>
  <si>
    <t>8800</t>
  </si>
  <si>
    <t>7970</t>
  </si>
  <si>
    <t>მამუკა</t>
  </si>
  <si>
    <t>კობერიძე</t>
  </si>
  <si>
    <t>01013005955</t>
  </si>
  <si>
    <t>მარინე</t>
  </si>
  <si>
    <t>წულუკიძე</t>
  </si>
  <si>
    <t>01009007886</t>
  </si>
  <si>
    <t>კობა</t>
  </si>
  <si>
    <t>დოღაძე</t>
  </si>
  <si>
    <t>ვახთანგ</t>
  </si>
  <si>
    <t>ლომაძე</t>
  </si>
  <si>
    <t>ოთარ</t>
  </si>
  <si>
    <t>მენაბდე</t>
  </si>
  <si>
    <t>ნანა</t>
  </si>
  <si>
    <t>ახუაშვილი</t>
  </si>
  <si>
    <t>ნიკოლოზ</t>
  </si>
  <si>
    <t>რამიშვილი</t>
  </si>
  <si>
    <t>GE 98TB0613645063622473</t>
  </si>
  <si>
    <t>GE02TB1752645064822334</t>
  </si>
  <si>
    <t>GE71TB7289536010100005</t>
  </si>
  <si>
    <t>GE47TB1174245063600017</t>
  </si>
  <si>
    <t>GE54TB0600000707718861</t>
  </si>
  <si>
    <t>GE74TB7298236010100001</t>
  </si>
  <si>
    <t>GE16TB7346236010100003</t>
  </si>
  <si>
    <t>500</t>
  </si>
  <si>
    <t>1000</t>
  </si>
  <si>
    <t>2000</t>
  </si>
  <si>
    <t>900</t>
  </si>
  <si>
    <t>07/26/2012</t>
  </si>
  <si>
    <t>07/27/2012</t>
  </si>
  <si>
    <t>49900</t>
  </si>
  <si>
    <t>გურამ</t>
  </si>
  <si>
    <t>კუპატაძე</t>
  </si>
  <si>
    <t>GE44TB7506636010100005</t>
  </si>
  <si>
    <t>არაფულადი შემოწირულობა</t>
  </si>
  <si>
    <t>300</t>
  </si>
  <si>
    <t>ალექსანდრე</t>
  </si>
  <si>
    <t>ფალავანდიშვილი</t>
  </si>
  <si>
    <t>რევაზ</t>
  </si>
  <si>
    <t>აიწურაძე</t>
  </si>
  <si>
    <t>თამაზ</t>
  </si>
  <si>
    <t>ყაჭეიშვილი</t>
  </si>
  <si>
    <t>01008005618</t>
  </si>
  <si>
    <t>GE84TB7225545063600008</t>
  </si>
  <si>
    <t>GE66TB1764645063600031</t>
  </si>
  <si>
    <t>GE84TB72225545063600008</t>
  </si>
  <si>
    <t>3000</t>
  </si>
  <si>
    <t>07/25/2012</t>
  </si>
  <si>
    <t>მარიამ</t>
  </si>
  <si>
    <t>გაიკარაშვილი</t>
  </si>
  <si>
    <t>ლაშა</t>
  </si>
  <si>
    <t>ადეიშვილი</t>
  </si>
  <si>
    <t>ბიჭია</t>
  </si>
  <si>
    <t>დემეტრაშვილი</t>
  </si>
  <si>
    <t>თეიმურაზ</t>
  </si>
  <si>
    <t>წილოსანი</t>
  </si>
  <si>
    <t>156</t>
  </si>
  <si>
    <t>104,17</t>
  </si>
  <si>
    <t>3513,29</t>
  </si>
  <si>
    <t>2342,2</t>
  </si>
  <si>
    <t>უსასაყიდლოდ სარგებლობა 80დღით</t>
  </si>
  <si>
    <t xml:space="preserve">ქ.ყვარელი სოფ.გავაზში მდებარე ერთსართულიანი ნაგებობა(საერთო ფართი 30კვ.მ.)57,04,25,219 </t>
  </si>
  <si>
    <t>უსასყიდლოდ სარგებლობა 92 დღით</t>
  </si>
  <si>
    <t xml:space="preserve">ზუგდიდი თამარ მეფის ქ.#35(საერთო ფართი 127 კვ.მ.)43,3201,030,01,500 </t>
  </si>
  <si>
    <t>უსასყიდლოდ სარგებლობა 62 დღით</t>
  </si>
  <si>
    <t>ქ.თბილისი მეროსადგურ„ვარკეთილის“მოპირდაპირე მხარეს საყრდენი კედლის მიმდებარედ (ნაკვ.09/056) 01,19,20009,056</t>
  </si>
  <si>
    <t xml:space="preserve">ქ.თბილისი მეტრო სადგურის „ვარკეთილის“ მოპირდაპირე მხარეს საყრდენი კედლის მიმდებნარ (ნაკვ.01,19,20,009,056 </t>
  </si>
  <si>
    <t>08/13/2012</t>
  </si>
  <si>
    <t>08/15/2012</t>
  </si>
  <si>
    <t>07/19/2012</t>
  </si>
  <si>
    <t>როზა</t>
  </si>
  <si>
    <t>გოგუაძე</t>
  </si>
  <si>
    <t>33001033724</t>
  </si>
  <si>
    <t>ქ.ოზურგეთი 26 მაისის ქ.#38-ში მდებარე ორსართულიანი ნაგებობა ს.კ.26.26.46.057</t>
  </si>
  <si>
    <t>165 დღით უსასყიდლოდ გადაცემა</t>
  </si>
  <si>
    <t>917</t>
  </si>
  <si>
    <t>11/01/2011-11/01/2012</t>
  </si>
  <si>
    <t>GE70Tb0600000360800013</t>
  </si>
  <si>
    <t>23,02,2066</t>
  </si>
  <si>
    <t>კორ სტანდარტ ბანკი</t>
  </si>
  <si>
    <t>GE52KS0000000004185819</t>
  </si>
  <si>
    <t>22,07,2010</t>
  </si>
  <si>
    <t>USD</t>
  </si>
  <si>
    <t>11/1/2011-01/11/2012</t>
  </si>
  <si>
    <t>11/17/2011</t>
  </si>
  <si>
    <t>11/22/2011</t>
  </si>
  <si>
    <t>საწვავის ღირებულება</t>
  </si>
  <si>
    <t>სხვა სამეუირნეო ხარჯები</t>
  </si>
  <si>
    <t>სამეურნეო ხარჯები</t>
  </si>
  <si>
    <t>12/15/2011</t>
  </si>
  <si>
    <t>ხელფასი სამეურნეო ხარჯები</t>
  </si>
  <si>
    <t>12/19/2011</t>
  </si>
  <si>
    <t>საწვავი,კომ.გად.ავტოსადგომის ღირ.</t>
  </si>
  <si>
    <t>12/21/2011</t>
  </si>
  <si>
    <t>ტეხნიკის შესაძენად</t>
  </si>
  <si>
    <t>12/23/2011</t>
  </si>
  <si>
    <t>თანხის შეთანა ბაკში</t>
  </si>
  <si>
    <t>12/28/2011</t>
  </si>
  <si>
    <t>01/13/2012</t>
  </si>
  <si>
    <t>საწვავი,მანქანის რემ.კომ.გადასახადი</t>
  </si>
  <si>
    <t>01/16/2012</t>
  </si>
  <si>
    <t>ხელფასი ,სამეურნო,საწვავი</t>
  </si>
  <si>
    <t>01/20/2012</t>
  </si>
  <si>
    <t>01/30/2012</t>
  </si>
  <si>
    <t>აუდიტის მომსახ.ავტოსად. ღირ-ბა</t>
  </si>
  <si>
    <t>01/31/2012</t>
  </si>
  <si>
    <t>საწვავი,სამეურეო ხარჯები</t>
  </si>
  <si>
    <t>საწვავის ღირებულება,სამერნეო ხარ.</t>
  </si>
  <si>
    <t>02/13/2012</t>
  </si>
  <si>
    <t>02/14/2012</t>
  </si>
  <si>
    <t>დაბრუნებული თანხა  სალაროდან</t>
  </si>
  <si>
    <t>02/15/2012</t>
  </si>
  <si>
    <t>ხელფასი, სამეურნეო ხარჯები</t>
  </si>
  <si>
    <t>საწვავი ,ავტოსაცდგომის ღირ-ბა</t>
  </si>
  <si>
    <t>02/16/2012</t>
  </si>
  <si>
    <t>02/21/2012</t>
  </si>
  <si>
    <t>საწვავი ელ.მომსახ.,სამეურნეო ხარჯები</t>
  </si>
  <si>
    <t>02/27/2012</t>
  </si>
  <si>
    <t>03/16/2012</t>
  </si>
  <si>
    <t>ხელფასი,საწვავი, ტელ.მომ.,კომ.გადასახ.</t>
  </si>
  <si>
    <t>ხელფასი,საწვავი,ტელფ.მომსახ.,სამეურნეო ხარჯები</t>
  </si>
  <si>
    <t>04/17/2012</t>
  </si>
  <si>
    <t>საწვავის რირ-ბა, კომ.გადასახ,ტელ.,მომსახურეობა</t>
  </si>
  <si>
    <t>04/19/2012</t>
  </si>
  <si>
    <t>ტელ.მომსახურეობა,სამეურნეო ხარ.</t>
  </si>
  <si>
    <t>04/20/2012</t>
  </si>
  <si>
    <t>საწვავის ღირ-ბა</t>
  </si>
  <si>
    <t>04/23/2012</t>
  </si>
  <si>
    <t>04/30/2012</t>
  </si>
  <si>
    <t>მივლინების ხარჯი,სამეურნეო</t>
  </si>
  <si>
    <t>05/14/2012</t>
  </si>
  <si>
    <t>05/16/2012</t>
  </si>
  <si>
    <t>მივლინება,ხელფასი,საწვავი,სამეურნეოხარჯები, წარმომადგ.</t>
  </si>
  <si>
    <t>05/23/2012</t>
  </si>
  <si>
    <t>საწვავის ღირ-ბა,კომუნ.გადასახადი</t>
  </si>
  <si>
    <t>05/24/2012</t>
  </si>
  <si>
    <t>საწვავი ,ოფის ხარჯი</t>
  </si>
  <si>
    <t>06/16/2012</t>
  </si>
  <si>
    <t>ხელფასი,იჯარის ქირა,სამეურნეო ხარჯები</t>
  </si>
  <si>
    <t>06/19/2012</t>
  </si>
  <si>
    <t>სამეურნეო ხარჯები,ტელ.გადას..,კომუნალ.გადას.</t>
  </si>
  <si>
    <t xml:space="preserve">სამეურნეო ხარჯები </t>
  </si>
  <si>
    <t>ავტოსადგომის ღირ.,ტელ.გადას.წარმომადგ.</t>
  </si>
  <si>
    <t>მძღოლების ანაზღაურება</t>
  </si>
  <si>
    <t>მანქანით მომსახურეობა</t>
  </si>
  <si>
    <t xml:space="preserve">ლარი </t>
  </si>
  <si>
    <t>გაყიდული მანქანის ღირებულება</t>
  </si>
  <si>
    <t>ჩაბარებული თანხა ბანკში</t>
  </si>
  <si>
    <t>კომუნალური გადასახადები</t>
  </si>
  <si>
    <t>06/25/2012</t>
  </si>
  <si>
    <t>07/14/2012</t>
  </si>
  <si>
    <t>07/16/2012</t>
  </si>
  <si>
    <t>07/27/12</t>
  </si>
  <si>
    <t>დაბრუნებული თანხა  საქვეანგარიშიდან</t>
  </si>
  <si>
    <t>სალაროდან თანხის შეთანა ბანკში</t>
  </si>
  <si>
    <t>08/14/12</t>
  </si>
  <si>
    <t>ინტერნეტი/ტელეფონი,კომუნალურები</t>
  </si>
  <si>
    <t>10/30/2012</t>
  </si>
  <si>
    <t>საწვავის ღირებ.ავტოსადგ.,სამეურნეო</t>
  </si>
  <si>
    <t>სალაროს ნაშთი პერიოდის ბოლოს</t>
  </si>
  <si>
    <t>ზურაბ</t>
  </si>
  <si>
    <t>ტყემალაძე</t>
  </si>
  <si>
    <t>01018002651</t>
  </si>
  <si>
    <t xml:space="preserve">ელენე </t>
  </si>
  <si>
    <t>კორჩაგინა</t>
  </si>
  <si>
    <t xml:space="preserve">მამუკა </t>
  </si>
  <si>
    <t>01017018271</t>
  </si>
  <si>
    <t xml:space="preserve">ქეთევან </t>
  </si>
  <si>
    <t>სებესქვერაძე</t>
  </si>
  <si>
    <t>01017025488</t>
  </si>
  <si>
    <t>როენა</t>
  </si>
  <si>
    <t>ჭელიშვილი</t>
  </si>
  <si>
    <t>01026013316</t>
  </si>
  <si>
    <t>მურმან</t>
  </si>
  <si>
    <t>კაცაძე</t>
  </si>
  <si>
    <t>01024029640</t>
  </si>
  <si>
    <t>ნანიტაშვილი</t>
  </si>
  <si>
    <t>01026009826</t>
  </si>
  <si>
    <t xml:space="preserve">ირინე </t>
  </si>
  <si>
    <t>ცუხიშვილი</t>
  </si>
  <si>
    <t>01018004485</t>
  </si>
  <si>
    <t>თაჯდომარე</t>
  </si>
  <si>
    <t>მთ.ბუღალტ.</t>
  </si>
  <si>
    <t>მძღოლი</t>
  </si>
  <si>
    <t>სპეციალისტი</t>
  </si>
  <si>
    <t>ადმინისტ.უფ.</t>
  </si>
  <si>
    <t>ქაჭეიშვილი</t>
  </si>
  <si>
    <t>სამომავლო პერსპექტი. განსაზღვრის  მიზნით</t>
  </si>
  <si>
    <t>ყაზბეგი,დუშეთი,თიანეთი</t>
  </si>
  <si>
    <t>მარინა</t>
  </si>
  <si>
    <t>გორი,კასპი,ხაშური,ქარელი</t>
  </si>
  <si>
    <t>01/16,17,18-2012</t>
  </si>
  <si>
    <t>ირინე</t>
  </si>
  <si>
    <t>რუსთავი,გარდაბანი,ბოლნისი,წალკა,დმანისი,მარნეული</t>
  </si>
  <si>
    <t>02/06,07,08-2012</t>
  </si>
  <si>
    <t>ბორჯომი,ახალციხე,ადიგენი,ასპინზა,ახალკალაკი,ნინოწმინდა</t>
  </si>
  <si>
    <t>02/15,16,17-2012</t>
  </si>
  <si>
    <t>სტრასბურგი</t>
  </si>
  <si>
    <t>02/06,07,08,9-2012</t>
  </si>
  <si>
    <t>ტყემელაძე</t>
  </si>
  <si>
    <t>ხარაგაული,ზესტაფონი,ბაღდადი,ქუთაისი,წყალტუბო,სამტრედია,ვანი</t>
  </si>
  <si>
    <t>02/20,21,22,23-2012</t>
  </si>
  <si>
    <t>ფოთი,აბაშა,სენაკი,ხობი,ზუგდიდი</t>
  </si>
  <si>
    <t xml:space="preserve">თამაზ </t>
  </si>
  <si>
    <t>საგარეჯო,სიღნაღი,დედოფლისწყარო,გურჯაანი,ყვარელი,თელავი,ახმეტა</t>
  </si>
  <si>
    <t>ცუკიშვილი</t>
  </si>
  <si>
    <t>05/01,02,03,04-2012</t>
  </si>
  <si>
    <t>05/05,06,07-2012</t>
  </si>
  <si>
    <t xml:space="preserve">მარინა </t>
  </si>
  <si>
    <t>ბათუმი,შუახევი,ქედა,კობულეთი,ხულო</t>
  </si>
  <si>
    <t>05/14,15,16,17-2012</t>
  </si>
  <si>
    <t>05/21,22,23,24-2012</t>
  </si>
  <si>
    <t>05/29,30,31-2012</t>
  </si>
  <si>
    <t>გაზეთების ბეჯდვა</t>
  </si>
  <si>
    <t>მუზუკალური მომსახურეობა</t>
  </si>
  <si>
    <t>მომსახურეობა</t>
  </si>
  <si>
    <t>კოდეკსის საფასური</t>
  </si>
  <si>
    <t xml:space="preserve">GE70TB06 46645062600014 </t>
  </si>
  <si>
    <t>11,02,2008</t>
  </si>
  <si>
    <t>30/06-31/07/2012</t>
  </si>
  <si>
    <t>შპს სტუდია მაესტრო</t>
  </si>
  <si>
    <t>რეკლამა</t>
  </si>
  <si>
    <t>შპს მეცხრე  არხი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</si>
  <si>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</si>
  <si>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</si>
  <si>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</si>
  <si>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</si>
  <si>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</si>
  <si>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31/07/2012</t>
  </si>
  <si>
    <t>შპს  ტელეკ.კავკასია</t>
  </si>
  <si>
    <t>30/06-27/07/2012</t>
  </si>
  <si>
    <t>შპს მედია სახლი ობიქტივი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</si>
  <si>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</si>
  <si>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</si>
  <si>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</si>
  <si>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</si>
  <si>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</si>
  <si>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</si>
  <si>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</si>
  <si>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11/08-21/08/2012</t>
  </si>
  <si>
    <t>შპს „ გამომცებლობა კოლორი“</t>
  </si>
  <si>
    <t>გაზეთი ქართული ოცნება</t>
  </si>
  <si>
    <t>ნანა როკვა</t>
  </si>
  <si>
    <t>01015018308</t>
  </si>
  <si>
    <t>იჯარის ქირა</t>
  </si>
  <si>
    <t>დევი კვარაცხელია</t>
  </si>
  <si>
    <t>19001010004</t>
  </si>
  <si>
    <t>სვეტლანა ფოლადაშვილი</t>
  </si>
  <si>
    <t>01013013356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</si>
  <si>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</si>
  <si>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</si>
  <si>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</si>
  <si>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</si>
  <si>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</si>
  <si>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ნინო სუქიაშვილი</t>
  </si>
  <si>
    <t>12001053877</t>
  </si>
  <si>
    <t>გელოდი ცომაია</t>
  </si>
  <si>
    <t>02001000997</t>
  </si>
  <si>
    <t>დავით ბებერაშვილი</t>
  </si>
  <si>
    <t>მაია გელაშვილი</t>
  </si>
  <si>
    <t>01030006499</t>
  </si>
  <si>
    <t>გრიგოლ აბჟანიძე</t>
  </si>
  <si>
    <t>21001011677</t>
  </si>
  <si>
    <t>თარიელ თებიძე</t>
  </si>
  <si>
    <t>61006007512</t>
  </si>
  <si>
    <t>მედეა თათრიშვილი</t>
  </si>
  <si>
    <t>58001030178</t>
  </si>
  <si>
    <t>იოლანტა ჩაგელიშვილი</t>
  </si>
  <si>
    <t>34001004461</t>
  </si>
  <si>
    <t>დალი ებრალიძე</t>
  </si>
  <si>
    <t>მედეა გველესიანი</t>
  </si>
  <si>
    <t>01015006405</t>
  </si>
  <si>
    <t>გურამ ბერძენიშვილი</t>
  </si>
  <si>
    <t>01,08.2012</t>
  </si>
  <si>
    <t>ზესტაფონის უ.ჩხეიძეს სახელ</t>
  </si>
  <si>
    <t xml:space="preserve"> სახელ.დრამტული თეათრი</t>
  </si>
  <si>
    <t>230053820</t>
  </si>
  <si>
    <t>კომუნალური გადასახადები რაიონების</t>
  </si>
  <si>
    <t>06/01/-10/31//2012</t>
  </si>
  <si>
    <t>06/01/-12/31//2012</t>
  </si>
  <si>
    <t>ნუცა ლომაძე</t>
  </si>
  <si>
    <t>04,07,2012.</t>
  </si>
  <si>
    <t>06,/18/2012</t>
  </si>
  <si>
    <t>ვალერიუთიაშვილი</t>
  </si>
  <si>
    <t>8/15/2012</t>
  </si>
  <si>
    <t>ბელა ნაკუდაიძე</t>
  </si>
  <si>
    <t>შპს „ ავამარიამი“</t>
  </si>
  <si>
    <t xml:space="preserve">იჯარის ქირა </t>
  </si>
  <si>
    <t>06/30/2012</t>
  </si>
  <si>
    <t>06/13/2012</t>
  </si>
  <si>
    <t>06/17/2012</t>
  </si>
  <si>
    <t>06/24/2012</t>
  </si>
  <si>
    <t>შპს ქართუ ბანკი</t>
  </si>
  <si>
    <t>ი/მ  გეორგი მჩხიანი</t>
  </si>
  <si>
    <t>07001005442</t>
  </si>
  <si>
    <t>მზია არჩვაზე-წერეთელი</t>
  </si>
  <si>
    <t>01018001780</t>
  </si>
  <si>
    <t>ჯეირან ხუბანოვი</t>
  </si>
  <si>
    <t>შპს ოჯახი და კაპმპანია</t>
  </si>
  <si>
    <t>ი/მ  ზურაბ გოგოლაძე</t>
  </si>
  <si>
    <t>ნანა გიორგაშვილი</t>
  </si>
  <si>
    <t>01024022690</t>
  </si>
  <si>
    <t>მანანა ხვთისიაშვილი</t>
  </si>
  <si>
    <t>თამაზ გოგოლაძე</t>
  </si>
  <si>
    <t>38001000058</t>
  </si>
  <si>
    <t>ზურაბ ცუკილაშვილი</t>
  </si>
  <si>
    <t>45001006907</t>
  </si>
  <si>
    <t>25001049879</t>
  </si>
  <si>
    <t>ნაირა გელაშვილი</t>
  </si>
  <si>
    <t>01008040230</t>
  </si>
  <si>
    <t>ასმათ ბერიკიშვილი</t>
  </si>
  <si>
    <t>23001007164</t>
  </si>
  <si>
    <t>ზურაბ ჯანგირაშვილი</t>
  </si>
  <si>
    <t>60001129329</t>
  </si>
  <si>
    <t>მარიამ მჭედლიშვილი</t>
  </si>
  <si>
    <t>36001033813</t>
  </si>
  <si>
    <t>თამარ ტრიანდაშვილი</t>
  </si>
  <si>
    <t>55001001060</t>
  </si>
  <si>
    <t>ირაკლი თოფაძე</t>
  </si>
  <si>
    <t>01008004721</t>
  </si>
  <si>
    <t>ამირან დავითაძე</t>
  </si>
  <si>
    <t>61010004477</t>
  </si>
  <si>
    <t>არჩილ ცენტერაძე</t>
  </si>
  <si>
    <t>ლაურა ქოქრაშვილი</t>
  </si>
  <si>
    <t>37001007683</t>
  </si>
  <si>
    <t>ნინო ბასილია</t>
  </si>
  <si>
    <t>61001025501</t>
  </si>
  <si>
    <t>გიორგი ორმოცაძე</t>
  </si>
  <si>
    <t>მირზა აბაშიძე</t>
  </si>
  <si>
    <t>61008001376</t>
  </si>
  <si>
    <t>27001007074</t>
  </si>
  <si>
    <t>ომარ კორძაძე</t>
  </si>
  <si>
    <t>იური მოდებაძე</t>
  </si>
  <si>
    <t>01019023803</t>
  </si>
  <si>
    <t>სოფიკო მახარობლიძე</t>
  </si>
  <si>
    <t>43001007812</t>
  </si>
  <si>
    <t>მედეა ცაგარეიშვილი</t>
  </si>
  <si>
    <t>01024031913</t>
  </si>
  <si>
    <t>რუსუდან ნონიკაშვილი</t>
  </si>
  <si>
    <t>01008004397</t>
  </si>
  <si>
    <t>ციცინო ნეფარიძე</t>
  </si>
  <si>
    <t>04001002669</t>
  </si>
  <si>
    <t>მირმენ ბარათაშვილი</t>
  </si>
  <si>
    <t>ნიკოლოზ მახარაშვილი</t>
  </si>
  <si>
    <t>01024083360</t>
  </si>
  <si>
    <t>მამუკა ოქრიაშვილი</t>
  </si>
  <si>
    <t>ნინა ჯაფარიძე</t>
  </si>
  <si>
    <t>ნინო  მამაცაშვილი</t>
  </si>
  <si>
    <t>05/15/2012</t>
  </si>
  <si>
    <t>05/21/2012</t>
  </si>
  <si>
    <t>06/15/2012</t>
  </si>
  <si>
    <t>06/22/2012</t>
  </si>
  <si>
    <t>ნათელა ქურასბედიანი</t>
  </si>
  <si>
    <t>06/27/2012</t>
  </si>
  <si>
    <t>06.21.2012</t>
  </si>
  <si>
    <t>ლალი სარალიძე</t>
  </si>
  <si>
    <t>ავთანდილ ზოიძე</t>
  </si>
  <si>
    <t>მაყვალა გაბუნია</t>
  </si>
  <si>
    <t>29001006917</t>
  </si>
  <si>
    <t>მაია ჩხიკვაძე</t>
  </si>
  <si>
    <t>46001015708</t>
  </si>
  <si>
    <t>ცირა ნანობაშვილი</t>
  </si>
  <si>
    <t>11001009245</t>
  </si>
  <si>
    <t>ედუარდ  აივაზიან</t>
  </si>
  <si>
    <t>47001012083</t>
  </si>
  <si>
    <t>ზურაბ როსტიაშვილი</t>
  </si>
  <si>
    <t>0102800992</t>
  </si>
  <si>
    <t>მაყვალა ელიავა</t>
  </si>
  <si>
    <t>49001011056</t>
  </si>
  <si>
    <t>ციური გაბასკირია</t>
  </si>
  <si>
    <t>39001021959</t>
  </si>
  <si>
    <t>ნანული ნატროშვილი</t>
  </si>
  <si>
    <t>14001003910</t>
  </si>
  <si>
    <t>მელანო ჯოჯუა</t>
  </si>
  <si>
    <t>53001007664</t>
  </si>
  <si>
    <t>ალექსანდრე ჯვანია</t>
  </si>
  <si>
    <t>თელმან გასანოვი</t>
  </si>
  <si>
    <t>სვეტლანა ისაევა</t>
  </si>
  <si>
    <t>მზია ქვრივიშვილი</t>
  </si>
  <si>
    <t>01003001569</t>
  </si>
  <si>
    <t>მამუკა გურგენიძე</t>
  </si>
  <si>
    <t>რეზო ებრალიძე</t>
  </si>
  <si>
    <t>ზურაბ ტყემალაძე</t>
  </si>
  <si>
    <t>ტელეფონის ღირ-ბა</t>
  </si>
  <si>
    <t>შპს ჯეოსელი</t>
  </si>
  <si>
    <t>სს გლობალ სელლ</t>
  </si>
  <si>
    <t>10/31/2012</t>
  </si>
  <si>
    <t>06/20/2012</t>
  </si>
  <si>
    <t>06/18/2012</t>
  </si>
  <si>
    <t>10/27/2012</t>
  </si>
  <si>
    <t>31001021716</t>
  </si>
  <si>
    <t>442,,5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</si>
  <si>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</si>
  <si>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ჩიხლაძე მარიამ</t>
  </si>
  <si>
    <t>მარინა ეფრემიძე</t>
  </si>
  <si>
    <t>01//01/2012</t>
  </si>
  <si>
    <t>10/21/2012</t>
  </si>
  <si>
    <t>10/22/2012</t>
  </si>
  <si>
    <t>ელენე კორჩაგინა</t>
  </si>
  <si>
    <t>კომუნალური გადასახ.</t>
  </si>
  <si>
    <t>მატერიალური ფასეულობის ღირებულება</t>
  </si>
  <si>
    <t>მოწყობილობით მომსახურეობა</t>
  </si>
  <si>
    <t>ავტოტრანსპორტით მომსახურეობა</t>
  </si>
  <si>
    <t xml:space="preserve">გამხმომანებიტ მომსახურეობა </t>
  </si>
  <si>
    <t xml:space="preserve">  ვიდეოტეხ.მომსახურეობა</t>
  </si>
  <si>
    <t>იურიდიული მომსახურეობა</t>
  </si>
  <si>
    <t xml:space="preserve">  გადახდილი ბაჯი</t>
  </si>
  <si>
    <t xml:space="preserve"> ავტოსადგომის ღირებულება</t>
  </si>
  <si>
    <t>ქეთევან</t>
  </si>
  <si>
    <t>04/23,24-2012</t>
  </si>
  <si>
    <t>04/26,27,28-2012</t>
  </si>
  <si>
    <t>ავსტრია</t>
  </si>
  <si>
    <t>05/4,5,6-2012</t>
  </si>
  <si>
    <t>05/8,9,10,11,12,13-2012</t>
  </si>
  <si>
    <t>05/14,15,16,17,18-2012</t>
  </si>
  <si>
    <t>02/27,28,29,30-2012</t>
  </si>
  <si>
    <t>05/25,26,27-2012</t>
  </si>
  <si>
    <t>06/01,02,03,04-2012</t>
  </si>
  <si>
    <t>06/05,06,07-2012</t>
  </si>
  <si>
    <t>06/8,9,10,11,12,13-2012</t>
  </si>
  <si>
    <t>06/14,15,16,17,18-2012</t>
  </si>
  <si>
    <t>06/14,15,16,17-2012</t>
  </si>
  <si>
    <t>11/01,02,03-2011</t>
  </si>
  <si>
    <t>11/05,06,07,-2011</t>
  </si>
  <si>
    <t>11/09,10,11 - 2011</t>
  </si>
  <si>
    <t>11/15,16,17,18-2011</t>
  </si>
  <si>
    <t>11/ 20,21,22,23-2011</t>
  </si>
  <si>
    <t>11/ 25,26,27,28-2011</t>
  </si>
  <si>
    <t>12/01,2,03,04-2011</t>
  </si>
  <si>
    <t>12/06,07,08-2011</t>
  </si>
  <si>
    <t>12/11,12,13,14-2011</t>
  </si>
  <si>
    <t>12/16,17,18- 2011</t>
  </si>
  <si>
    <t>კაცაზე</t>
  </si>
  <si>
    <t>12/19,20,21,22,23-2011</t>
  </si>
  <si>
    <t>12/26,27,28-2011</t>
  </si>
  <si>
    <t>01/11,12,13,-2012</t>
  </si>
  <si>
    <t>საანგარიშო პერიოდი</t>
  </si>
  <si>
    <t>03/1,2,3,4-2012</t>
  </si>
  <si>
    <t>03/5,6,7, -2012</t>
  </si>
  <si>
    <t>03/12,13,14  -2012</t>
  </si>
  <si>
    <t>03/15,16,17,18- 2012</t>
  </si>
  <si>
    <t>03/20,21,22,23,24  -2012</t>
  </si>
  <si>
    <t>03/26,27,28,  2012</t>
  </si>
  <si>
    <t>04/2,3,4,5 -2012</t>
  </si>
  <si>
    <t>04/10,11,12-2012</t>
  </si>
  <si>
    <t>04/17,18,19,20,21-2012</t>
  </si>
  <si>
    <t>11/01/2011-1/11/2012</t>
  </si>
  <si>
    <t>01018002653</t>
  </si>
  <si>
    <t>ქ. რუსთავი, ტაშკენტის ქ. 5</t>
  </si>
  <si>
    <t>ოფისი</t>
  </si>
  <si>
    <t>8 თვე</t>
  </si>
  <si>
    <t>ქ. თბილისი, მოსკოვის გამზ. 35</t>
  </si>
  <si>
    <t>ქ. წალენჯიხა, მებონიას ქ. 2</t>
  </si>
  <si>
    <t>7 თვე</t>
  </si>
  <si>
    <t>ქ. თბილისი, ვაჟა-ფშაველას გამზ. 7, ბ-62</t>
  </si>
  <si>
    <t>ქ. ჩხოროწყუ, შენგელიას ქ. 2</t>
  </si>
  <si>
    <t>ქ. დუშეთი, სტალინის ქ. 34</t>
  </si>
  <si>
    <t>ქ. თბილისი, რუსთაველის გამზ. 24</t>
  </si>
  <si>
    <t>ქ. თბილისი, ერეკლე 2-ეს მოედანი 3</t>
  </si>
  <si>
    <t>7,5 თვე</t>
  </si>
  <si>
    <t>შპს „ახალი კაპიტალი“</t>
  </si>
  <si>
    <t>ქ. თბილისი, გორგასლის ქ. 81</t>
  </si>
  <si>
    <t>6 თვე</t>
  </si>
  <si>
    <t>ბერძენიშვილი</t>
  </si>
  <si>
    <t>ქ. თბილისი, ქ. წამებულის/ბოჭორმის 49/8</t>
  </si>
  <si>
    <t>01028000992</t>
  </si>
  <si>
    <t>როსტიაშვილი</t>
  </si>
  <si>
    <t>ქ. თბილისი, გრიგოლ რობაქიძის ქ. 7</t>
  </si>
  <si>
    <t>5,5 თვე</t>
  </si>
  <si>
    <t>როყვა</t>
  </si>
  <si>
    <t>ქ. თბილისი, დ. აღმაშენებლის გამზ. 39</t>
  </si>
  <si>
    <t>ი/მ მაია გელაშვილი</t>
  </si>
  <si>
    <t>ქ. თბილისი, თემქა, 10 კვ. კორპ. 36ა</t>
  </si>
  <si>
    <t>60001041506</t>
  </si>
  <si>
    <t>ლევან</t>
  </si>
  <si>
    <t>კუხიანიძე</t>
  </si>
  <si>
    <t>ქ. თბილისი, ც. დადიანის ქ. 104</t>
  </si>
  <si>
    <t>0801278114</t>
  </si>
  <si>
    <t xml:space="preserve">მერაბ </t>
  </si>
  <si>
    <t>გველესიანი</t>
  </si>
  <si>
    <t>ქ. თბილისი, ხიზანიშვილის ქ. 41ა</t>
  </si>
  <si>
    <t>12 თვე</t>
  </si>
  <si>
    <t>გურგენიძე</t>
  </si>
  <si>
    <t>ქ. საგარეჯო, ალაზნის ქ. 2</t>
  </si>
  <si>
    <t xml:space="preserve">მარიამ </t>
  </si>
  <si>
    <t>მჭედლიშვილი</t>
  </si>
  <si>
    <t>ქ. გურჯაანი, რუსთაველის ქ. 4</t>
  </si>
  <si>
    <t>6,5 თვე</t>
  </si>
  <si>
    <t>13001017845</t>
  </si>
  <si>
    <t>ი/მ ვალერი უტიაშვილი</t>
  </si>
  <si>
    <t>ქ. წნორი, თავისუფლების ქ. 61</t>
  </si>
  <si>
    <t xml:space="preserve">ნაირა </t>
  </si>
  <si>
    <t>გელაშვილი</t>
  </si>
  <si>
    <t>ქ. დედოფლისწყარო, გორგასლის ქ. 1</t>
  </si>
  <si>
    <t>ნანული</t>
  </si>
  <si>
    <t>ქ. ლაგოდეხი, ჭავჭავაძის ქ. 2</t>
  </si>
  <si>
    <t>ნინო</t>
  </si>
  <si>
    <t>მამაცაშვილი</t>
  </si>
  <si>
    <t>ქ. ყვარელი, მარჯანიშვილის ქ. 47</t>
  </si>
  <si>
    <t>თამარ</t>
  </si>
  <si>
    <t>ტორაძე</t>
  </si>
  <si>
    <t>ქ. თელავი, ილ. ჭავჭავაძის მოედანი</t>
  </si>
  <si>
    <t>204891652</t>
  </si>
  <si>
    <t>სს „ბანკი ქართუ“</t>
  </si>
  <si>
    <t xml:space="preserve">ქ. ახმეტა, ვაჟა-ფშაველას ქ. </t>
  </si>
  <si>
    <t>ასმათ</t>
  </si>
  <si>
    <t>ბერიკიშვილი</t>
  </si>
  <si>
    <t>დაბა თიანეთი, რუსთაველის ქ. 38</t>
  </si>
  <si>
    <t>ჯანგირაშვილი</t>
  </si>
  <si>
    <t>ქ. გარდაბანი, ოქტომბრის ქ. 54</t>
  </si>
  <si>
    <t>12001017877</t>
  </si>
  <si>
    <t>თელმან</t>
  </si>
  <si>
    <t>გასანოვი</t>
  </si>
  <si>
    <t>ქ. მარნეული, რუსთაველის ქ. 82</t>
  </si>
  <si>
    <t>28001002247</t>
  </si>
  <si>
    <t>ი/მ ჯეირან ხუბანოვი</t>
  </si>
  <si>
    <t>ქ. ბოლნისი, აღმაშენებლის ქ. 54</t>
  </si>
  <si>
    <t>24001022727</t>
  </si>
  <si>
    <t>მზია</t>
  </si>
  <si>
    <t>ქვრივიშვილი</t>
  </si>
  <si>
    <t>დმანისის რაიონი, 9 აპრილის ქ. 67</t>
  </si>
  <si>
    <t>15001002399</t>
  </si>
  <si>
    <t>ოქრიაშვილი</t>
  </si>
  <si>
    <t>ქ. წალკა, კლდეკარის ქ. 20</t>
  </si>
  <si>
    <t>მოდებაძე</t>
  </si>
  <si>
    <t>ქ. თეთრიწყარო, ჭავჭავაძის 5</t>
  </si>
  <si>
    <t>22001001578</t>
  </si>
  <si>
    <t>სვეტლანა</t>
  </si>
  <si>
    <t>ისაევი</t>
  </si>
  <si>
    <t>ქ. მცხეთა, დ. აღმაშენებლის ქ. 5</t>
  </si>
  <si>
    <t>რუსუდან</t>
  </si>
  <si>
    <t>ნონიკაშვილი</t>
  </si>
  <si>
    <t>ყაზბეგის რაიონი, დაბა სტეფანწმინდა</t>
  </si>
  <si>
    <t xml:space="preserve">ირაკლი </t>
  </si>
  <si>
    <t>ქ. კასპი, კოსტავას ქ. 5</t>
  </si>
  <si>
    <t>24001004130</t>
  </si>
  <si>
    <t>მანანა</t>
  </si>
  <si>
    <t>ხვთისიაშვილი</t>
  </si>
  <si>
    <t>ქ. გორი, სტალინის ქ. 48</t>
  </si>
  <si>
    <t>218041107</t>
  </si>
  <si>
    <t>შპს „ოჯახი და კომპანია“</t>
  </si>
  <si>
    <t>ქ. ქარელი, სტალინის ქ. 49</t>
  </si>
  <si>
    <t>გიორგაშვილი</t>
  </si>
  <si>
    <t>ქ. ხაშური, რუსთაველის ქ. 33</t>
  </si>
  <si>
    <t>57001009984</t>
  </si>
  <si>
    <t>ი/მ ზურაბ გოგალაძე</t>
  </si>
  <si>
    <t>ქ. ბორჯომი, რუსთაველის ქ. 147</t>
  </si>
  <si>
    <t>10 თვე</t>
  </si>
  <si>
    <t>ცირა</t>
  </si>
  <si>
    <t>ნანობაშვილი</t>
  </si>
  <si>
    <t>ქ. ახალციხე, ნათენაძის ქ. 38</t>
  </si>
  <si>
    <t>ედუარდ</t>
  </si>
  <si>
    <t>აივაზიან</t>
  </si>
  <si>
    <t>დაბა ასპინძა, მარჯანიშვილის ქ. 3</t>
  </si>
  <si>
    <t>მედეა</t>
  </si>
  <si>
    <t>ცაგარეიშვილი</t>
  </si>
  <si>
    <t>ქ. ახალქალაქი, თამარ მეფის ქ.56</t>
  </si>
  <si>
    <t>ი/მ გეორგ მხჩიან</t>
  </si>
  <si>
    <t>ქ. ონი, კახაბერის ქ. 26</t>
  </si>
  <si>
    <t>იოლანდა</t>
  </si>
  <si>
    <t>ჩაგელიშვილი</t>
  </si>
  <si>
    <t>ქ. ამბროლაური, კოსტავას ქ. 1</t>
  </si>
  <si>
    <t>ციცინო</t>
  </si>
  <si>
    <t>ნეფარიძე</t>
  </si>
  <si>
    <t>ცაგერი, რუსთაველის ქ. 10</t>
  </si>
  <si>
    <t>49001011046</t>
  </si>
  <si>
    <t>მაყვალა</t>
  </si>
  <si>
    <t>ელიავა</t>
  </si>
  <si>
    <t>ქ. ლენტეხი, სტალინის ქ. 8</t>
  </si>
  <si>
    <t>ნათელა</t>
  </si>
  <si>
    <t>ქურასბედიანი</t>
  </si>
  <si>
    <t>დაბა მესტია, თამარ მეფის ქ. 14</t>
  </si>
  <si>
    <t>62005023736</t>
  </si>
  <si>
    <t>ნინა</t>
  </si>
  <si>
    <t>ჯაფარიძე</t>
  </si>
  <si>
    <t>დაბა ხარაგაული, სოლომონ მეფის 21</t>
  </si>
  <si>
    <t>არევაძე-წერეთელი</t>
  </si>
  <si>
    <t>ქ. თერჯოლა, რუსთაველის ქ. 122</t>
  </si>
  <si>
    <t>გრიგოლ</t>
  </si>
  <si>
    <t>აბჟანდაძე</t>
  </si>
  <si>
    <t>ქ. საჩხერე, ს. დურმიშიძის ქ. 57/59</t>
  </si>
  <si>
    <t>გოგოლიძე</t>
  </si>
  <si>
    <t>ქ. ზესტაფონი, ქუთაისის ქ. 1</t>
  </si>
  <si>
    <t>18001001854</t>
  </si>
  <si>
    <t>ლალი</t>
  </si>
  <si>
    <t>სარალიძე</t>
  </si>
  <si>
    <t>ქ. ბაღდათი, რუსთაველის ქ. 22</t>
  </si>
  <si>
    <t>225063123</t>
  </si>
  <si>
    <t>შპს „ავამარიამი“</t>
  </si>
  <si>
    <t>ქ. ვანი, ჯორჯიაშვილის ქ. 2</t>
  </si>
  <si>
    <t>17001000134</t>
  </si>
  <si>
    <t>ომარ</t>
  </si>
  <si>
    <t>კორძაძე</t>
  </si>
  <si>
    <t>ქ. სამტრედია, ჭავჭავაძის ქ. 17</t>
  </si>
  <si>
    <t>ლუარა</t>
  </si>
  <si>
    <t>ქოქრაშვილი</t>
  </si>
  <si>
    <t>ქ. ხონი, მოსე ხონელის ქ. 5</t>
  </si>
  <si>
    <t>01019022016</t>
  </si>
  <si>
    <t>ბიჭიაშვილი</t>
  </si>
  <si>
    <t>ქ. ჭიათურა, ნინოშვილის ქ. 12</t>
  </si>
  <si>
    <t>54001031206</t>
  </si>
  <si>
    <t>მირმენ</t>
  </si>
  <si>
    <t>ბარათაშვილი</t>
  </si>
  <si>
    <t>ქ. ტყიბული, რუსთაველის ქ. 1</t>
  </si>
  <si>
    <t>მახარაშვილი</t>
  </si>
  <si>
    <t>ქ. წყალტუბო, ჭავჭავაძის ქ. 8</t>
  </si>
  <si>
    <t>53001019388</t>
  </si>
  <si>
    <t>მელანო</t>
  </si>
  <si>
    <t>ჯოჯუა</t>
  </si>
  <si>
    <t>ქ. ქუთაისი, რუსთაველის გამზ. 38</t>
  </si>
  <si>
    <t>53001005005</t>
  </si>
  <si>
    <t>ჟორჟოლიანი</t>
  </si>
  <si>
    <t>ქ. ოზურგეთი, 26 მაისის ქ. 38</t>
  </si>
  <si>
    <t>ქ. ლანჩხუთი, მდინარაძის ქ. 3</t>
  </si>
  <si>
    <t>26001002376</t>
  </si>
  <si>
    <t>ორმოცაძე</t>
  </si>
  <si>
    <t>ქ. ჩოხატაური, დუმბაძის 3</t>
  </si>
  <si>
    <t>მაია</t>
  </si>
  <si>
    <t>ჩხიკვაძე</t>
  </si>
  <si>
    <t>ქ. სენაკი, დ. ვაჰანიას ქ. 10</t>
  </si>
  <si>
    <t>ციური</t>
  </si>
  <si>
    <t>გაბესკირია</t>
  </si>
  <si>
    <t>ქ. მარტვილი, ნ. გეგიას ქ. 2</t>
  </si>
  <si>
    <t>გაბუნია</t>
  </si>
  <si>
    <t>ქ. ხობი, ცოტნე დადიანის ქ. 169</t>
  </si>
  <si>
    <t>თათარაშვილი</t>
  </si>
  <si>
    <t>ქ. ზუგდიდი, მ. კოსტავას ქ. 11</t>
  </si>
  <si>
    <t>4 თვე</t>
  </si>
  <si>
    <t>დევი</t>
  </si>
  <si>
    <t>კვარაცხელია</t>
  </si>
  <si>
    <t>ქ. ზუგდიდი, თავისუფლების ქ. 10</t>
  </si>
  <si>
    <t>19001038925</t>
  </si>
  <si>
    <t>ჟვანია</t>
  </si>
  <si>
    <t>ქ. ფოთი, რუსთაველის რკალი 24</t>
  </si>
  <si>
    <t>42001002750</t>
  </si>
  <si>
    <t>ებრალიძე</t>
  </si>
  <si>
    <t>ქ. ბათუმი, ფარნავაზ მეფის ქ. 41</t>
  </si>
  <si>
    <t>61001073924</t>
  </si>
  <si>
    <t>ბასილია</t>
  </si>
  <si>
    <t>დაბა ქედა, 9 აპრილის ქ. 1</t>
  </si>
  <si>
    <t>ი/მ მირზა აბაშიძე</t>
  </si>
  <si>
    <t>ქობულეთი, დ. აღმაშენებლის გამზ. 96</t>
  </si>
  <si>
    <t>4,5 თვე</t>
  </si>
  <si>
    <t>61004006060</t>
  </si>
  <si>
    <t>არჩილ</t>
  </si>
  <si>
    <t>ცენტერაძე</t>
  </si>
  <si>
    <t>დაბა შუახევი, რუსთაველის 7</t>
  </si>
  <si>
    <t>ამირან</t>
  </si>
  <si>
    <t>დავითაძე</t>
  </si>
  <si>
    <t>ხელვაჩაურის რაიონი, სოფ. მეჯინისწყალი</t>
  </si>
  <si>
    <t>ტარიელ</t>
  </si>
  <si>
    <t>თებიძე</t>
  </si>
  <si>
    <t>დაბა ხულო, ტბელ აბუსერიძის ქ. 10</t>
  </si>
  <si>
    <t>61009005342</t>
  </si>
  <si>
    <t>ავთანდილ</t>
  </si>
  <si>
    <t>ზოიძე</t>
  </si>
  <si>
    <t>ქ. აბაშა, თავისუფლების ქ. 115</t>
  </si>
  <si>
    <t>გელოდი</t>
  </si>
  <si>
    <t>ცომაია</t>
  </si>
  <si>
    <t>ქ. თბილისი, ბარათაშვილის ქ. 6/10</t>
  </si>
  <si>
    <t>3 თვე</t>
  </si>
  <si>
    <t>01015018173</t>
  </si>
  <si>
    <t>მალხაზიშვილი</t>
  </si>
  <si>
    <t>ქ.თბილისი ჭავჭავაძის გამზ.12 ბ.24</t>
  </si>
  <si>
    <t>01008019098</t>
  </si>
  <si>
    <t xml:space="preserve">ნათია </t>
  </si>
  <si>
    <t>ხელაია</t>
  </si>
  <si>
    <t>ქ.თბილისი ჭავჭავაძის გამზ.12 ბ.24 ა</t>
  </si>
  <si>
    <t>ჩიხლაძე</t>
  </si>
  <si>
    <t>ქ.თბილისი გლდანი 1 კვართალი მიმდ.ტერ.</t>
  </si>
  <si>
    <t>1 თვე</t>
  </si>
  <si>
    <t>შპს ცკიფო</t>
  </si>
  <si>
    <t>ქ.წყალტუბო ,ავალიანის ქ.შ.5</t>
  </si>
  <si>
    <t>10თვე</t>
  </si>
  <si>
    <t>01008005299</t>
  </si>
  <si>
    <t>ეფრემიძე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</si>
</sst>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2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/>
    <xf numFmtId="0" fontId="22" fillId="0" borderId="0" xfId="5" applyFont="1" applyProtection="1">
      <protection locked="0"/>
    </xf>
    <xf numFmtId="0" fontId="24" fillId="3" borderId="13" xfId="5" applyFont="1" applyFill="1" applyBorder="1" applyAlignment="1" applyProtection="1">
      <alignment horizontal="center" vertical="top" wrapText="1"/>
    </xf>
    <xf numFmtId="0" fontId="24" fillId="3" borderId="14" xfId="5" applyFont="1" applyFill="1" applyBorder="1" applyAlignment="1" applyProtection="1">
      <alignment horizontal="center" vertical="top" wrapText="1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7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9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20" xfId="5" applyFont="1" applyBorder="1" applyAlignment="1" applyProtection="1">
      <alignment wrapText="1"/>
      <protection locked="0"/>
    </xf>
    <xf numFmtId="0" fontId="22" fillId="4" borderId="19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0" fontId="22" fillId="0" borderId="21" xfId="5" applyFont="1" applyBorder="1" applyAlignment="1" applyProtection="1">
      <alignment horizontal="center"/>
      <protection locked="0"/>
    </xf>
    <xf numFmtId="0" fontId="22" fillId="0" borderId="22" xfId="5" applyFont="1" applyBorder="1" applyAlignment="1" applyProtection="1">
      <alignment wrapText="1"/>
      <protection locked="0"/>
    </xf>
    <xf numFmtId="0" fontId="22" fillId="0" borderId="23" xfId="5" applyFont="1" applyBorder="1" applyAlignment="1" applyProtection="1">
      <alignment wrapText="1"/>
      <protection locked="0"/>
    </xf>
    <xf numFmtId="0" fontId="22" fillId="4" borderId="22" xfId="5" applyFont="1" applyFill="1" applyBorder="1" applyAlignment="1" applyProtection="1">
      <alignment wrapText="1"/>
      <protection locked="0"/>
    </xf>
    <xf numFmtId="0" fontId="22" fillId="4" borderId="22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5" xfId="2" applyFont="1" applyFill="1" applyBorder="1" applyAlignment="1" applyProtection="1">
      <alignment horizontal="center" vertical="top" wrapText="1"/>
    </xf>
    <xf numFmtId="1" fontId="19" fillId="5" borderId="25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6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4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0" fontId="24" fillId="5" borderId="16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14" fontId="22" fillId="0" borderId="22" xfId="5" applyNumberFormat="1" applyFont="1" applyBorder="1" applyAlignment="1" applyProtection="1">
      <alignment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14" fontId="6" fillId="0" borderId="0" xfId="3" applyNumberFormat="1" applyBorder="1" applyProtection="1">
      <protection locked="0"/>
    </xf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6" borderId="0" xfId="1" applyFont="1" applyFill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/>
      <protection locked="0"/>
    </xf>
    <xf numFmtId="3" fontId="12" fillId="6" borderId="0" xfId="1" applyNumberFormat="1" applyFont="1" applyFill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1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7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8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9" fillId="0" borderId="24" xfId="2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9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7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14" fontId="12" fillId="0" borderId="0" xfId="1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30" xfId="0" applyNumberFormat="1" applyFont="1" applyBorder="1" applyAlignment="1">
      <alignment horizontal="left" wrapText="1"/>
    </xf>
    <xf numFmtId="49" fontId="22" fillId="0" borderId="5" xfId="5" applyNumberFormat="1" applyFont="1" applyBorder="1" applyProtection="1">
      <protection locked="0"/>
    </xf>
    <xf numFmtId="0" fontId="22" fillId="4" borderId="31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0" fontId="24" fillId="5" borderId="32" xfId="5" applyFont="1" applyFill="1" applyBorder="1" applyAlignment="1" applyProtection="1">
      <alignment horizontal="center"/>
    </xf>
    <xf numFmtId="0" fontId="24" fillId="5" borderId="33" xfId="5" applyFont="1" applyFill="1" applyBorder="1" applyAlignment="1" applyProtection="1">
      <alignment horizontal="center"/>
    </xf>
    <xf numFmtId="0" fontId="24" fillId="5" borderId="34" xfId="5" applyFont="1" applyFill="1" applyBorder="1" applyAlignment="1" applyProtection="1">
      <alignment horizontal="center"/>
    </xf>
    <xf numFmtId="49" fontId="32" fillId="0" borderId="35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14" fontId="22" fillId="0" borderId="27" xfId="5" applyNumberFormat="1" applyFont="1" applyBorder="1" applyAlignment="1" applyProtection="1">
      <alignment wrapText="1"/>
      <protection locked="0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32" fillId="0" borderId="38" xfId="0" applyNumberFormat="1" applyFont="1" applyBorder="1" applyAlignment="1">
      <alignment horizontal="left" wrapText="1"/>
    </xf>
    <xf numFmtId="49" fontId="32" fillId="0" borderId="39" xfId="0" applyNumberFormat="1" applyFont="1" applyBorder="1" applyAlignment="1">
      <alignment horizontal="left" wrapText="1"/>
    </xf>
    <xf numFmtId="49" fontId="32" fillId="0" borderId="40" xfId="0" applyNumberFormat="1" applyFont="1" applyBorder="1" applyAlignment="1">
      <alignment horizontal="left" wrapText="1"/>
    </xf>
    <xf numFmtId="49" fontId="32" fillId="0" borderId="41" xfId="0" applyNumberFormat="1" applyFont="1" applyBorder="1" applyAlignment="1">
      <alignment horizontal="left" wrapText="1"/>
    </xf>
    <xf numFmtId="49" fontId="32" fillId="0" borderId="42" xfId="0" applyNumberFormat="1" applyFont="1" applyBorder="1" applyAlignment="1">
      <alignment horizontal="left" wrapText="1"/>
    </xf>
    <xf numFmtId="49" fontId="22" fillId="0" borderId="4" xfId="5" applyNumberFormat="1" applyFont="1" applyBorder="1" applyProtection="1">
      <protection locked="0"/>
    </xf>
    <xf numFmtId="49" fontId="22" fillId="0" borderId="43" xfId="5" applyNumberFormat="1" applyFont="1" applyBorder="1" applyProtection="1">
      <protection locked="0"/>
    </xf>
    <xf numFmtId="49" fontId="24" fillId="3" borderId="32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44" xfId="5" applyFont="1" applyFill="1" applyBorder="1" applyAlignment="1" applyProtection="1">
      <alignment horizontal="center"/>
    </xf>
    <xf numFmtId="0" fontId="24" fillId="3" borderId="1" xfId="5" applyFont="1" applyFill="1" applyBorder="1" applyAlignment="1" applyProtection="1">
      <alignment horizontal="center" vertical="top" wrapText="1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14" fontId="33" fillId="2" borderId="2" xfId="5" applyNumberFormat="1" applyFont="1" applyFill="1" applyBorder="1" applyAlignment="1" applyProtection="1">
      <alignment wrapText="1"/>
      <protection locked="0"/>
    </xf>
    <xf numFmtId="0" fontId="12" fillId="2" borderId="7" xfId="2" applyFont="1" applyFill="1" applyBorder="1" applyAlignment="1" applyProtection="1">
      <alignment horizontal="left" vertical="top" wrapText="1"/>
      <protection locked="0"/>
    </xf>
    <xf numFmtId="1" fontId="12" fillId="2" borderId="7" xfId="2" applyNumberFormat="1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1" xfId="8" applyNumberFormat="1" applyFont="1" applyBorder="1" applyAlignment="1" applyProtection="1">
      <alignment wrapText="1"/>
      <protection locked="0"/>
    </xf>
    <xf numFmtId="0" fontId="20" fillId="5" borderId="9" xfId="2" applyFont="1" applyFill="1" applyBorder="1" applyAlignment="1" applyProtection="1">
      <alignment horizontal="right" vertical="top" wrapText="1"/>
      <protection locked="0"/>
    </xf>
    <xf numFmtId="14" fontId="22" fillId="0" borderId="27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1" fontId="19" fillId="0" borderId="45" xfId="2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/>
    <xf numFmtId="0" fontId="0" fillId="0" borderId="1" xfId="0" applyBorder="1" applyAlignment="1">
      <alignment horizontal="left"/>
    </xf>
    <xf numFmtId="1" fontId="19" fillId="0" borderId="46" xfId="2" applyNumberFormat="1" applyFont="1" applyFill="1" applyBorder="1" applyAlignment="1" applyProtection="1">
      <alignment horizontal="left" vertical="top" wrapText="1"/>
      <protection locked="0"/>
    </xf>
    <xf numFmtId="0" fontId="19" fillId="0" borderId="9" xfId="2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0" fontId="19" fillId="0" borderId="47" xfId="2" applyFont="1" applyFill="1" applyBorder="1" applyAlignment="1" applyProtection="1">
      <alignment horizontal="left" vertical="top" wrapText="1"/>
      <protection locked="0"/>
    </xf>
    <xf numFmtId="1" fontId="19" fillId="0" borderId="47" xfId="2" applyNumberFormat="1" applyFont="1" applyFill="1" applyBorder="1" applyAlignment="1" applyProtection="1">
      <alignment horizontal="left" vertical="top" wrapText="1"/>
      <protection locked="0"/>
    </xf>
    <xf numFmtId="0" fontId="20" fillId="5" borderId="8" xfId="2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20" fillId="5" borderId="1" xfId="2" applyFont="1" applyFill="1" applyBorder="1" applyAlignment="1" applyProtection="1">
      <alignment horizontal="right" vertical="top" wrapText="1"/>
      <protection locked="0"/>
    </xf>
    <xf numFmtId="14" fontId="12" fillId="2" borderId="1" xfId="0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48" xfId="2" applyFont="1" applyFill="1" applyBorder="1" applyAlignment="1" applyProtection="1">
      <alignment horizontal="left" vertical="top"/>
      <protection locked="0"/>
    </xf>
    <xf numFmtId="0" fontId="19" fillId="5" borderId="48" xfId="2" applyFont="1" applyFill="1" applyBorder="1" applyAlignment="1" applyProtection="1">
      <alignment horizontal="left" vertical="top" wrapText="1"/>
      <protection locked="0"/>
    </xf>
    <xf numFmtId="0" fontId="19" fillId="5" borderId="49" xfId="2" applyFont="1" applyFill="1" applyBorder="1" applyAlignment="1" applyProtection="1">
      <alignment horizontal="left" vertical="top" wrapText="1"/>
      <protection locked="0"/>
    </xf>
    <xf numFmtId="1" fontId="19" fillId="5" borderId="49" xfId="2" applyNumberFormat="1" applyFont="1" applyFill="1" applyBorder="1" applyAlignment="1" applyProtection="1">
      <alignment horizontal="left" vertical="top" wrapText="1"/>
      <protection locked="0"/>
    </xf>
    <xf numFmtId="1" fontId="19" fillId="5" borderId="50" xfId="2" applyNumberFormat="1" applyFont="1" applyFill="1" applyBorder="1" applyAlignment="1" applyProtection="1">
      <alignment horizontal="left" vertical="top" wrapText="1"/>
      <protection locked="0"/>
    </xf>
    <xf numFmtId="0" fontId="20" fillId="5" borderId="48" xfId="2" applyFont="1" applyFill="1" applyBorder="1" applyAlignment="1" applyProtection="1">
      <alignment horizontal="right" vertical="top" wrapText="1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9" xfId="0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4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righ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0" fontId="19" fillId="0" borderId="52" xfId="2" applyFont="1" applyFill="1" applyBorder="1" applyAlignment="1" applyProtection="1">
      <alignment horizontal="center" vertical="top" wrapText="1"/>
      <protection locked="0"/>
    </xf>
    <xf numFmtId="0" fontId="19" fillId="0" borderId="24" xfId="2" applyFont="1" applyFill="1" applyBorder="1" applyAlignment="1" applyProtection="1">
      <alignment horizontal="center" vertical="top" wrapText="1"/>
      <protection locked="0"/>
    </xf>
    <xf numFmtId="49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0" fontId="19" fillId="0" borderId="26" xfId="2" applyFont="1" applyFill="1" applyBorder="1" applyAlignment="1" applyProtection="1">
      <alignment horizontal="center" vertical="top" wrapText="1"/>
      <protection locked="0"/>
    </xf>
    <xf numFmtId="0" fontId="19" fillId="0" borderId="51" xfId="2" applyFont="1" applyFill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7" fontId="14" fillId="0" borderId="2" xfId="8" applyNumberFormat="1" applyFont="1" applyBorder="1" applyAlignment="1" applyProtection="1">
      <alignment horizontal="center"/>
      <protection locked="0"/>
    </xf>
    <xf numFmtId="49" fontId="19" fillId="0" borderId="6" xfId="2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Protection="1">
      <protection locked="0"/>
    </xf>
    <xf numFmtId="0" fontId="8" fillId="5" borderId="0" xfId="0" applyFont="1" applyFill="1" applyBorder="1"/>
    <xf numFmtId="0" fontId="8" fillId="5" borderId="3" xfId="0" applyFont="1" applyFill="1" applyBorder="1"/>
    <xf numFmtId="0" fontId="18" fillId="5" borderId="1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3" fontId="17" fillId="5" borderId="1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39" fillId="0" borderId="1" xfId="0" applyFont="1" applyBorder="1"/>
    <xf numFmtId="0" fontId="0" fillId="0" borderId="1" xfId="0" applyFill="1" applyBorder="1"/>
    <xf numFmtId="0" fontId="39" fillId="0" borderId="1" xfId="0" applyFont="1" applyFill="1" applyBorder="1"/>
    <xf numFmtId="3" fontId="39" fillId="0" borderId="1" xfId="0" applyNumberFormat="1" applyFont="1" applyBorder="1"/>
    <xf numFmtId="3" fontId="0" fillId="0" borderId="1" xfId="0" applyNumberFormat="1" applyFill="1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0" applyNumberFormat="1" applyFont="1" applyFill="1" applyBorder="1" applyProtection="1">
      <protection locked="0"/>
    </xf>
    <xf numFmtId="0" fontId="8" fillId="0" borderId="0" xfId="0" applyFont="1"/>
    <xf numFmtId="0" fontId="3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39" fillId="0" borderId="0" xfId="0" applyNumberFormat="1" applyFont="1"/>
    <xf numFmtId="3" fontId="17" fillId="2" borderId="1" xfId="0" applyNumberFormat="1" applyFont="1" applyFill="1" applyBorder="1" applyAlignment="1" applyProtection="1">
      <alignment horizontal="center"/>
    </xf>
    <xf numFmtId="0" fontId="39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0" fontId="14" fillId="0" borderId="29" xfId="4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14" fillId="0" borderId="1" xfId="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9" xfId="4" applyFont="1" applyFill="1" applyBorder="1" applyAlignment="1" applyProtection="1">
      <alignment horizontal="center" vertical="center" wrapText="1"/>
      <protection locked="0"/>
    </xf>
    <xf numFmtId="0" fontId="14" fillId="2" borderId="27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219</xdr:row>
      <xdr:rowOff>171450</xdr:rowOff>
    </xdr:from>
    <xdr:to>
      <xdr:col>0</xdr:col>
      <xdr:colOff>1495425</xdr:colOff>
      <xdr:row>219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220</xdr:row>
      <xdr:rowOff>4082</xdr:rowOff>
    </xdr:from>
    <xdr:to>
      <xdr:col>4</xdr:col>
      <xdr:colOff>110219</xdr:colOff>
      <xdr:row>220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157</xdr:row>
      <xdr:rowOff>35379</xdr:rowOff>
    </xdr:from>
    <xdr:to>
      <xdr:col>1</xdr:col>
      <xdr:colOff>1012372</xdr:colOff>
      <xdr:row>157</xdr:row>
      <xdr:rowOff>35379</xdr:rowOff>
    </xdr:to>
    <xdr:cxnSp macro="">
      <xdr:nvCxnSpPr>
        <xdr:cNvPr id="4" name="Straight Connector 3"/>
        <xdr:cNvCxnSpPr/>
      </xdr:nvCxnSpPr>
      <xdr:spPr>
        <a:xfrm>
          <a:off x="2639786" y="15207343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220</xdr:row>
      <xdr:rowOff>4082</xdr:rowOff>
    </xdr:from>
    <xdr:to>
      <xdr:col>5</xdr:col>
      <xdr:colOff>110219</xdr:colOff>
      <xdr:row>220</xdr:row>
      <xdr:rowOff>4082</xdr:rowOff>
    </xdr:to>
    <xdr:cxnSp macro="">
      <xdr:nvCxnSpPr>
        <xdr:cNvPr id="5" name="Straight Connector 4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191</xdr:row>
      <xdr:rowOff>35379</xdr:rowOff>
    </xdr:from>
    <xdr:to>
      <xdr:col>1</xdr:col>
      <xdr:colOff>1012372</xdr:colOff>
      <xdr:row>191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1"/>
  <sheetViews>
    <sheetView showGridLines="0" tabSelected="1" view="pageBreakPreview" zoomScale="80" zoomScaleSheetLayoutView="80" workbookViewId="0">
      <selection activeCell="G13" sqref="G13"/>
    </sheetView>
  </sheetViews>
  <sheetFormatPr defaultRowHeight="15" x14ac:dyDescent="0.25"/>
  <cols>
    <col min="1" max="1" width="6.28515625" style="64" bestFit="1" customWidth="1"/>
    <col min="2" max="2" width="13.140625" style="64" customWidth="1"/>
    <col min="3" max="3" width="17.5703125" style="64" bestFit="1" customWidth="1"/>
    <col min="4" max="4" width="15.140625" style="64" customWidth="1"/>
    <col min="5" max="6" width="18.5703125" style="64" customWidth="1"/>
    <col min="7" max="7" width="17.85546875" style="87" customWidth="1"/>
    <col min="8" max="8" width="19.140625" style="87" customWidth="1"/>
    <col min="9" max="9" width="21.140625" style="87" customWidth="1"/>
    <col min="10" max="11" width="17.42578125" style="64" customWidth="1"/>
    <col min="12" max="12" width="16.7109375" style="64" customWidth="1"/>
    <col min="13" max="13" width="28.140625" style="64" customWidth="1"/>
    <col min="14" max="16384" width="9.140625" style="64"/>
  </cols>
  <sheetData>
    <row r="1" spans="1:13" s="101" customFormat="1" x14ac:dyDescent="0.3">
      <c r="A1" s="104" t="s">
        <v>313</v>
      </c>
      <c r="B1" s="131"/>
      <c r="C1" s="131"/>
      <c r="D1" s="131"/>
      <c r="E1" s="132"/>
      <c r="F1" s="133"/>
      <c r="G1" s="135"/>
      <c r="H1" s="145"/>
      <c r="I1" s="104"/>
      <c r="J1" s="131"/>
      <c r="K1" s="132"/>
      <c r="L1" s="132"/>
      <c r="M1" s="338" t="s">
        <v>110</v>
      </c>
    </row>
    <row r="2" spans="1:13" s="101" customFormat="1" x14ac:dyDescent="0.3">
      <c r="A2" s="106" t="s">
        <v>141</v>
      </c>
      <c r="B2" s="131"/>
      <c r="C2" s="131"/>
      <c r="D2" s="131"/>
      <c r="E2" s="132"/>
      <c r="F2" s="133"/>
      <c r="G2" s="135"/>
      <c r="H2" s="145"/>
      <c r="I2" s="106"/>
      <c r="J2" s="131"/>
      <c r="K2" s="132"/>
      <c r="L2" s="132"/>
      <c r="M2" s="337" t="s">
        <v>611</v>
      </c>
    </row>
    <row r="3" spans="1:13" s="101" customFormat="1" x14ac:dyDescent="0.3">
      <c r="A3" s="131"/>
      <c r="B3" s="131"/>
      <c r="C3" s="134"/>
      <c r="D3" s="136"/>
      <c r="E3" s="132"/>
      <c r="F3" s="132"/>
      <c r="G3" s="137"/>
      <c r="H3" s="132"/>
      <c r="I3" s="132"/>
      <c r="J3" s="133"/>
      <c r="K3" s="131"/>
      <c r="L3" s="131"/>
      <c r="M3" s="132"/>
    </row>
    <row r="4" spans="1:13" s="101" customFormat="1" x14ac:dyDescent="0.3">
      <c r="A4" s="133" t="s">
        <v>277</v>
      </c>
      <c r="B4" s="146"/>
      <c r="C4" s="146"/>
      <c r="D4" s="146" t="s">
        <v>280</v>
      </c>
      <c r="E4" s="154"/>
      <c r="F4" s="132"/>
      <c r="G4" s="139"/>
      <c r="H4" s="132"/>
      <c r="I4" s="153"/>
      <c r="J4" s="154"/>
      <c r="K4" s="131"/>
      <c r="L4" s="132"/>
      <c r="M4" s="132"/>
    </row>
    <row r="5" spans="1:13" s="101" customFormat="1" x14ac:dyDescent="0.3">
      <c r="A5" s="133"/>
      <c r="B5" s="133"/>
      <c r="C5" s="272" t="s">
        <v>520</v>
      </c>
      <c r="D5" s="110"/>
      <c r="E5" s="110"/>
      <c r="F5" s="110"/>
      <c r="G5" s="110"/>
      <c r="H5" s="110"/>
      <c r="I5" s="139"/>
      <c r="J5" s="138"/>
      <c r="K5" s="145"/>
      <c r="L5" s="131"/>
      <c r="M5" s="132"/>
    </row>
    <row r="6" spans="1:13" s="101" customFormat="1" ht="15.75" thickBot="1" x14ac:dyDescent="0.35">
      <c r="A6" s="140"/>
      <c r="B6" s="132"/>
      <c r="C6" s="138"/>
      <c r="D6" s="141"/>
      <c r="E6" s="132"/>
      <c r="F6" s="132"/>
      <c r="G6" s="139"/>
      <c r="H6" s="139"/>
      <c r="I6" s="139"/>
      <c r="J6" s="132"/>
      <c r="K6" s="131"/>
      <c r="L6" s="131"/>
      <c r="M6" s="132"/>
    </row>
    <row r="7" spans="1:13" ht="15.75" thickBot="1" x14ac:dyDescent="0.3">
      <c r="A7" s="142"/>
      <c r="B7" s="143"/>
      <c r="C7" s="142"/>
      <c r="D7" s="142"/>
      <c r="E7" s="144"/>
      <c r="F7" s="144"/>
      <c r="G7" s="133"/>
      <c r="H7" s="133"/>
      <c r="I7" s="133"/>
      <c r="J7" s="530" t="s">
        <v>443</v>
      </c>
      <c r="K7" s="531"/>
      <c r="L7" s="532"/>
      <c r="M7" s="142"/>
    </row>
    <row r="8" spans="1:13" s="69" customFormat="1" ht="39" thickBot="1" x14ac:dyDescent="0.25">
      <c r="A8" s="207" t="s">
        <v>64</v>
      </c>
      <c r="B8" s="208" t="s">
        <v>142</v>
      </c>
      <c r="C8" s="208" t="s">
        <v>279</v>
      </c>
      <c r="D8" s="209" t="s">
        <v>286</v>
      </c>
      <c r="E8" s="65" t="s">
        <v>227</v>
      </c>
      <c r="F8" s="66" t="s">
        <v>226</v>
      </c>
      <c r="G8" s="366" t="s">
        <v>230</v>
      </c>
      <c r="H8" s="371" t="s">
        <v>231</v>
      </c>
      <c r="I8" s="369" t="s">
        <v>228</v>
      </c>
      <c r="J8" s="67" t="s">
        <v>282</v>
      </c>
      <c r="K8" s="68" t="s">
        <v>283</v>
      </c>
      <c r="L8" s="68" t="s">
        <v>232</v>
      </c>
      <c r="M8" s="210" t="s">
        <v>233</v>
      </c>
    </row>
    <row r="9" spans="1:13" s="92" customFormat="1" ht="15.75" thickBot="1" x14ac:dyDescent="0.3">
      <c r="A9" s="203">
        <v>1</v>
      </c>
      <c r="B9" s="351">
        <v>2</v>
      </c>
      <c r="C9" s="351">
        <v>3</v>
      </c>
      <c r="D9" s="352">
        <v>4</v>
      </c>
      <c r="E9" s="353">
        <v>7</v>
      </c>
      <c r="F9" s="352">
        <v>8</v>
      </c>
      <c r="G9" s="367">
        <v>9</v>
      </c>
      <c r="H9" s="372">
        <v>12</v>
      </c>
      <c r="I9" s="370">
        <v>13</v>
      </c>
      <c r="J9" s="205">
        <v>14</v>
      </c>
      <c r="K9" s="204">
        <v>15</v>
      </c>
      <c r="L9" s="204">
        <v>16</v>
      </c>
      <c r="M9" s="206">
        <v>17</v>
      </c>
    </row>
    <row r="10" spans="1:13" ht="30" x14ac:dyDescent="0.25">
      <c r="A10" s="70">
        <v>1</v>
      </c>
      <c r="B10" s="354" t="s">
        <v>527</v>
      </c>
      <c r="C10" s="71" t="s">
        <v>522</v>
      </c>
      <c r="D10" s="354" t="s">
        <v>528</v>
      </c>
      <c r="E10" s="354" t="s">
        <v>523</v>
      </c>
      <c r="F10" s="360" t="s">
        <v>524</v>
      </c>
      <c r="G10" s="368"/>
      <c r="H10" s="368" t="s">
        <v>525</v>
      </c>
      <c r="I10" s="363" t="s">
        <v>526</v>
      </c>
      <c r="J10" s="349"/>
      <c r="K10" s="73"/>
      <c r="L10" s="74"/>
      <c r="M10" s="72"/>
    </row>
    <row r="11" spans="1:13" ht="27" x14ac:dyDescent="0.25">
      <c r="A11" s="75">
        <v>2</v>
      </c>
      <c r="B11" s="347" t="s">
        <v>531</v>
      </c>
      <c r="C11" s="347" t="s">
        <v>234</v>
      </c>
      <c r="D11" s="347" t="s">
        <v>529</v>
      </c>
      <c r="E11" s="347" t="s">
        <v>523</v>
      </c>
      <c r="F11" s="361" t="s">
        <v>524</v>
      </c>
      <c r="G11" s="368"/>
      <c r="H11" s="368" t="s">
        <v>525</v>
      </c>
      <c r="I11" s="359" t="s">
        <v>530</v>
      </c>
      <c r="J11" s="349"/>
      <c r="K11" s="80"/>
      <c r="L11" s="81"/>
      <c r="M11" s="78"/>
    </row>
    <row r="12" spans="1:13" ht="30" x14ac:dyDescent="0.25">
      <c r="A12" s="75">
        <v>3</v>
      </c>
      <c r="B12" s="202" t="s">
        <v>533</v>
      </c>
      <c r="C12" s="71" t="s">
        <v>522</v>
      </c>
      <c r="D12" s="347" t="s">
        <v>565</v>
      </c>
      <c r="E12" s="347" t="s">
        <v>523</v>
      </c>
      <c r="F12" s="361" t="s">
        <v>524</v>
      </c>
      <c r="G12" s="368"/>
      <c r="H12" s="368" t="s">
        <v>525</v>
      </c>
      <c r="I12" s="359" t="s">
        <v>532</v>
      </c>
      <c r="J12" s="350"/>
      <c r="K12" s="80"/>
      <c r="L12" s="81"/>
      <c r="M12" s="78"/>
    </row>
    <row r="13" spans="1:13" ht="30" x14ac:dyDescent="0.25">
      <c r="A13" s="75">
        <v>4</v>
      </c>
      <c r="B13" s="202">
        <v>41250</v>
      </c>
      <c r="C13" s="71" t="s">
        <v>522</v>
      </c>
      <c r="D13" s="347" t="s">
        <v>534</v>
      </c>
      <c r="E13" s="347" t="s">
        <v>523</v>
      </c>
      <c r="F13" s="361" t="s">
        <v>524</v>
      </c>
      <c r="G13" s="368"/>
      <c r="H13" s="368" t="s">
        <v>525</v>
      </c>
      <c r="I13" s="359" t="s">
        <v>530</v>
      </c>
      <c r="J13" s="79"/>
      <c r="K13" s="80"/>
      <c r="L13" s="81"/>
      <c r="M13" s="78"/>
    </row>
    <row r="14" spans="1:13" ht="30" x14ac:dyDescent="0.25">
      <c r="A14" s="75">
        <v>5</v>
      </c>
      <c r="B14" s="356">
        <v>41250</v>
      </c>
      <c r="C14" s="76" t="s">
        <v>522</v>
      </c>
      <c r="D14" s="358" t="s">
        <v>535</v>
      </c>
      <c r="E14" s="357" t="s">
        <v>523</v>
      </c>
      <c r="F14" s="362" t="s">
        <v>524</v>
      </c>
      <c r="G14" s="368"/>
      <c r="H14" s="368" t="s">
        <v>525</v>
      </c>
      <c r="I14" s="358" t="s">
        <v>526</v>
      </c>
      <c r="J14" s="79"/>
      <c r="K14" s="80"/>
      <c r="L14" s="81"/>
      <c r="M14" s="78"/>
    </row>
    <row r="15" spans="1:13" ht="30" x14ac:dyDescent="0.25">
      <c r="A15" s="75">
        <v>6</v>
      </c>
      <c r="B15" s="355" t="s">
        <v>582</v>
      </c>
      <c r="C15" s="76" t="s">
        <v>522</v>
      </c>
      <c r="D15" s="359" t="s">
        <v>561</v>
      </c>
      <c r="E15" s="347" t="s">
        <v>571</v>
      </c>
      <c r="F15" s="361" t="s">
        <v>572</v>
      </c>
      <c r="G15" s="368"/>
      <c r="H15" s="368" t="s">
        <v>525</v>
      </c>
      <c r="I15" s="359" t="s">
        <v>578</v>
      </c>
      <c r="J15" s="350"/>
      <c r="K15" s="80"/>
      <c r="L15" s="81"/>
      <c r="M15" s="78"/>
    </row>
    <row r="16" spans="1:13" ht="30" x14ac:dyDescent="0.25">
      <c r="A16" s="75">
        <v>7</v>
      </c>
      <c r="B16" s="355" t="s">
        <v>582</v>
      </c>
      <c r="C16" s="76" t="s">
        <v>522</v>
      </c>
      <c r="D16" s="359" t="s">
        <v>581</v>
      </c>
      <c r="E16" s="347" t="s">
        <v>573</v>
      </c>
      <c r="F16" s="361" t="s">
        <v>574</v>
      </c>
      <c r="G16" s="368"/>
      <c r="H16" s="368" t="s">
        <v>525</v>
      </c>
      <c r="I16" s="359" t="s">
        <v>579</v>
      </c>
      <c r="J16" s="350"/>
      <c r="K16" s="80"/>
      <c r="L16" s="81"/>
      <c r="M16" s="78"/>
    </row>
    <row r="17" spans="1:13" ht="30" x14ac:dyDescent="0.25">
      <c r="A17" s="75">
        <v>8</v>
      </c>
      <c r="B17" s="355" t="s">
        <v>582</v>
      </c>
      <c r="C17" s="76" t="s">
        <v>522</v>
      </c>
      <c r="D17" s="359" t="s">
        <v>560</v>
      </c>
      <c r="E17" s="347" t="s">
        <v>575</v>
      </c>
      <c r="F17" s="361" t="s">
        <v>576</v>
      </c>
      <c r="G17" s="368"/>
      <c r="H17" s="368" t="s">
        <v>525</v>
      </c>
      <c r="I17" s="359" t="s">
        <v>580</v>
      </c>
      <c r="J17" s="350"/>
      <c r="K17" s="80"/>
      <c r="L17" s="81"/>
      <c r="M17" s="78"/>
    </row>
    <row r="18" spans="1:13" ht="40.5" x14ac:dyDescent="0.25">
      <c r="A18" s="75">
        <v>9</v>
      </c>
      <c r="B18" s="202" t="s">
        <v>563</v>
      </c>
      <c r="C18" s="71" t="s">
        <v>522</v>
      </c>
      <c r="D18" s="354" t="s">
        <v>559</v>
      </c>
      <c r="E18" s="354" t="s">
        <v>536</v>
      </c>
      <c r="F18" s="360" t="s">
        <v>537</v>
      </c>
      <c r="G18" s="368"/>
      <c r="H18" s="368" t="s">
        <v>525</v>
      </c>
      <c r="I18" s="363" t="s">
        <v>552</v>
      </c>
      <c r="J18" s="79"/>
      <c r="K18" s="80"/>
      <c r="L18" s="81"/>
      <c r="M18" s="78"/>
    </row>
    <row r="19" spans="1:13" ht="30" x14ac:dyDescent="0.25">
      <c r="A19" s="75">
        <v>10</v>
      </c>
      <c r="B19" s="202" t="s">
        <v>563</v>
      </c>
      <c r="C19" s="71" t="s">
        <v>522</v>
      </c>
      <c r="D19" s="347" t="s">
        <v>559</v>
      </c>
      <c r="E19" s="347" t="s">
        <v>539</v>
      </c>
      <c r="F19" s="361" t="s">
        <v>540</v>
      </c>
      <c r="G19" s="368"/>
      <c r="H19" s="368" t="s">
        <v>525</v>
      </c>
      <c r="I19" s="359" t="s">
        <v>553</v>
      </c>
      <c r="J19" s="79"/>
      <c r="K19" s="80"/>
      <c r="L19" s="81"/>
      <c r="M19" s="78"/>
    </row>
    <row r="20" spans="1:13" ht="30" x14ac:dyDescent="0.25">
      <c r="A20" s="75">
        <v>11</v>
      </c>
      <c r="B20" s="202" t="s">
        <v>563</v>
      </c>
      <c r="C20" s="71" t="s">
        <v>522</v>
      </c>
      <c r="D20" s="347" t="s">
        <v>529</v>
      </c>
      <c r="E20" s="347" t="s">
        <v>542</v>
      </c>
      <c r="F20" s="361" t="s">
        <v>543</v>
      </c>
      <c r="G20" s="368"/>
      <c r="H20" s="368" t="s">
        <v>525</v>
      </c>
      <c r="I20" s="359" t="s">
        <v>554</v>
      </c>
      <c r="J20" s="79"/>
      <c r="K20" s="80"/>
      <c r="L20" s="81"/>
      <c r="M20" s="78"/>
    </row>
    <row r="21" spans="1:13" ht="30" x14ac:dyDescent="0.25">
      <c r="A21" s="75">
        <v>12</v>
      </c>
      <c r="B21" s="202" t="s">
        <v>563</v>
      </c>
      <c r="C21" s="71" t="s">
        <v>522</v>
      </c>
      <c r="D21" s="347" t="s">
        <v>560</v>
      </c>
      <c r="E21" s="347" t="s">
        <v>544</v>
      </c>
      <c r="F21" s="361" t="s">
        <v>545</v>
      </c>
      <c r="G21" s="368"/>
      <c r="H21" s="368" t="s">
        <v>525</v>
      </c>
      <c r="I21" s="359" t="s">
        <v>555</v>
      </c>
      <c r="J21" s="79"/>
      <c r="K21" s="80"/>
      <c r="L21" s="81"/>
      <c r="M21" s="78"/>
    </row>
    <row r="22" spans="1:13" ht="30" x14ac:dyDescent="0.25">
      <c r="A22" s="75">
        <v>13</v>
      </c>
      <c r="B22" s="202" t="s">
        <v>563</v>
      </c>
      <c r="C22" s="71" t="s">
        <v>522</v>
      </c>
      <c r="D22" s="347" t="s">
        <v>561</v>
      </c>
      <c r="E22" s="347" t="s">
        <v>546</v>
      </c>
      <c r="F22" s="361" t="s">
        <v>547</v>
      </c>
      <c r="G22" s="368"/>
      <c r="H22" s="368" t="s">
        <v>525</v>
      </c>
      <c r="I22" s="359" t="s">
        <v>556</v>
      </c>
      <c r="J22" s="79"/>
      <c r="K22" s="80"/>
      <c r="L22" s="81"/>
      <c r="M22" s="78"/>
    </row>
    <row r="23" spans="1:13" ht="30" x14ac:dyDescent="0.25">
      <c r="A23" s="75">
        <v>14</v>
      </c>
      <c r="B23" s="202" t="s">
        <v>564</v>
      </c>
      <c r="C23" s="71" t="s">
        <v>522</v>
      </c>
      <c r="D23" s="347" t="s">
        <v>560</v>
      </c>
      <c r="E23" s="347" t="s">
        <v>548</v>
      </c>
      <c r="F23" s="361" t="s">
        <v>549</v>
      </c>
      <c r="G23" s="368"/>
      <c r="H23" s="368" t="s">
        <v>525</v>
      </c>
      <c r="I23" s="359" t="s">
        <v>557</v>
      </c>
      <c r="J23" s="79"/>
      <c r="K23" s="80"/>
      <c r="L23" s="81"/>
      <c r="M23" s="78"/>
    </row>
    <row r="24" spans="1:13" ht="30" x14ac:dyDescent="0.25">
      <c r="A24" s="75">
        <v>15</v>
      </c>
      <c r="B24" s="202" t="s">
        <v>564</v>
      </c>
      <c r="C24" s="71" t="s">
        <v>522</v>
      </c>
      <c r="D24" s="347" t="s">
        <v>562</v>
      </c>
      <c r="E24" s="347" t="s">
        <v>550</v>
      </c>
      <c r="F24" s="361" t="s">
        <v>551</v>
      </c>
      <c r="G24" s="368"/>
      <c r="H24" s="368" t="s">
        <v>525</v>
      </c>
      <c r="I24" s="359" t="s">
        <v>558</v>
      </c>
      <c r="J24" s="79"/>
      <c r="K24" s="80"/>
      <c r="L24" s="81"/>
      <c r="M24" s="78"/>
    </row>
    <row r="25" spans="1:13" ht="30" x14ac:dyDescent="0.25">
      <c r="A25" s="75">
        <v>16</v>
      </c>
      <c r="B25" s="202">
        <v>40916</v>
      </c>
      <c r="C25" s="71" t="s">
        <v>522</v>
      </c>
      <c r="D25" s="348" t="s">
        <v>570</v>
      </c>
      <c r="E25" s="347" t="s">
        <v>566</v>
      </c>
      <c r="F25" s="361" t="s">
        <v>567</v>
      </c>
      <c r="G25" s="368"/>
      <c r="H25" s="368" t="s">
        <v>525</v>
      </c>
      <c r="I25" s="359" t="s">
        <v>568</v>
      </c>
      <c r="J25" s="79"/>
      <c r="K25" s="80"/>
      <c r="L25" s="81"/>
      <c r="M25" s="78"/>
    </row>
    <row r="26" spans="1:13" ht="96" customHeight="1" x14ac:dyDescent="0.25">
      <c r="A26" s="75">
        <v>17</v>
      </c>
      <c r="B26" s="202" t="s">
        <v>602</v>
      </c>
      <c r="C26" s="71" t="s">
        <v>569</v>
      </c>
      <c r="D26" s="347" t="s">
        <v>591</v>
      </c>
      <c r="E26" s="347" t="s">
        <v>583</v>
      </c>
      <c r="F26" s="361" t="s">
        <v>584</v>
      </c>
      <c r="G26" s="368"/>
      <c r="H26" s="77"/>
      <c r="I26" s="364"/>
      <c r="J26" s="347" t="s">
        <v>596</v>
      </c>
      <c r="K26" s="80" t="s">
        <v>595</v>
      </c>
      <c r="L26" s="81"/>
      <c r="M26" s="78"/>
    </row>
    <row r="27" spans="1:13" ht="71.25" customHeight="1" x14ac:dyDescent="0.25">
      <c r="A27" s="75">
        <v>18</v>
      </c>
      <c r="B27" s="202" t="s">
        <v>603</v>
      </c>
      <c r="C27" s="71" t="s">
        <v>569</v>
      </c>
      <c r="D27" s="347" t="s">
        <v>592</v>
      </c>
      <c r="E27" s="347" t="s">
        <v>585</v>
      </c>
      <c r="F27" s="361" t="s">
        <v>586</v>
      </c>
      <c r="G27" s="368"/>
      <c r="H27" s="77"/>
      <c r="I27" s="364"/>
      <c r="J27" s="347" t="s">
        <v>598</v>
      </c>
      <c r="K27" s="80" t="s">
        <v>597</v>
      </c>
      <c r="L27" s="81"/>
      <c r="M27" s="78"/>
    </row>
    <row r="28" spans="1:13" ht="95.25" customHeight="1" x14ac:dyDescent="0.25">
      <c r="A28" s="75">
        <v>19</v>
      </c>
      <c r="B28" s="202" t="s">
        <v>603</v>
      </c>
      <c r="C28" s="71" t="s">
        <v>569</v>
      </c>
      <c r="D28" s="347" t="s">
        <v>593</v>
      </c>
      <c r="E28" s="347" t="s">
        <v>587</v>
      </c>
      <c r="F28" s="361" t="s">
        <v>588</v>
      </c>
      <c r="G28" s="368"/>
      <c r="H28" s="77"/>
      <c r="I28" s="364"/>
      <c r="J28" s="347" t="s">
        <v>600</v>
      </c>
      <c r="K28" s="80" t="s">
        <v>599</v>
      </c>
      <c r="L28" s="81"/>
      <c r="M28" s="78"/>
    </row>
    <row r="29" spans="1:13" ht="102" customHeight="1" thickBot="1" x14ac:dyDescent="0.3">
      <c r="A29" s="82">
        <v>20</v>
      </c>
      <c r="B29" s="214" t="s">
        <v>603</v>
      </c>
      <c r="C29" s="83" t="s">
        <v>569</v>
      </c>
      <c r="D29" s="347" t="s">
        <v>594</v>
      </c>
      <c r="E29" s="347" t="s">
        <v>589</v>
      </c>
      <c r="F29" s="361" t="s">
        <v>590</v>
      </c>
      <c r="G29" s="368"/>
      <c r="H29" s="77"/>
      <c r="I29" s="365"/>
      <c r="J29" s="347" t="s">
        <v>601</v>
      </c>
      <c r="K29" s="85" t="s">
        <v>599</v>
      </c>
      <c r="L29" s="86"/>
      <c r="M29" s="84"/>
    </row>
    <row r="30" spans="1:13" ht="81.75" thickBot="1" x14ac:dyDescent="0.3">
      <c r="A30" s="82">
        <v>21</v>
      </c>
      <c r="B30" s="214" t="s">
        <v>604</v>
      </c>
      <c r="C30" s="83" t="s">
        <v>569</v>
      </c>
      <c r="D30" s="347" t="s">
        <v>610</v>
      </c>
      <c r="E30" s="347" t="s">
        <v>605</v>
      </c>
      <c r="F30" s="361" t="s">
        <v>606</v>
      </c>
      <c r="G30" s="368"/>
      <c r="H30" s="77"/>
      <c r="I30" s="365"/>
      <c r="J30" s="347" t="s">
        <v>608</v>
      </c>
      <c r="K30" s="347" t="s">
        <v>609</v>
      </c>
      <c r="L30" s="86"/>
      <c r="M30" s="84"/>
    </row>
    <row r="31" spans="1:13" ht="15.75" thickBot="1" x14ac:dyDescent="0.3">
      <c r="A31" s="82"/>
      <c r="B31" s="214"/>
      <c r="C31" s="83"/>
      <c r="D31" s="347"/>
      <c r="E31" s="347"/>
      <c r="F31" s="361"/>
      <c r="G31" s="368"/>
      <c r="H31" s="77"/>
      <c r="I31" s="365"/>
      <c r="J31" s="347"/>
      <c r="K31" s="85"/>
      <c r="L31" s="86"/>
      <c r="M31" s="84"/>
    </row>
    <row r="32" spans="1:13" ht="15.75" thickBot="1" x14ac:dyDescent="0.3">
      <c r="A32" s="82"/>
      <c r="B32" s="214"/>
      <c r="C32" s="83"/>
      <c r="D32" s="347"/>
      <c r="E32" s="347"/>
      <c r="F32" s="361"/>
      <c r="G32" s="368"/>
      <c r="H32" s="77"/>
      <c r="I32" s="365"/>
      <c r="J32" s="347"/>
      <c r="K32" s="85"/>
      <c r="L32" s="86"/>
      <c r="M32" s="84"/>
    </row>
    <row r="33" spans="1:13" s="101" customFormat="1" ht="16.5" thickBot="1" x14ac:dyDescent="0.35">
      <c r="A33" s="82"/>
      <c r="B33" s="214"/>
      <c r="C33" s="83"/>
      <c r="D33" s="347"/>
      <c r="E33" s="347"/>
      <c r="F33" s="361"/>
      <c r="G33" s="368"/>
      <c r="H33" s="77"/>
      <c r="I33" s="365"/>
      <c r="J33" s="347"/>
      <c r="K33" s="85"/>
      <c r="L33" s="86"/>
      <c r="M33" s="84"/>
    </row>
    <row r="34" spans="1:13" s="101" customFormat="1" ht="16.5" thickBot="1" x14ac:dyDescent="0.35">
      <c r="A34" s="82"/>
      <c r="B34" s="214"/>
      <c r="C34" s="83"/>
      <c r="D34" s="347"/>
      <c r="E34" s="347"/>
      <c r="F34" s="361"/>
      <c r="G34" s="368"/>
      <c r="H34" s="77"/>
      <c r="I34" s="365"/>
      <c r="J34" s="347"/>
      <c r="K34" s="85"/>
      <c r="L34" s="86"/>
      <c r="M34" s="84"/>
    </row>
    <row r="35" spans="1:13" s="101" customFormat="1" ht="16.5" thickBot="1" x14ac:dyDescent="0.35">
      <c r="A35" s="82"/>
      <c r="B35" s="214"/>
      <c r="C35" s="83"/>
      <c r="D35" s="347"/>
      <c r="E35" s="347"/>
      <c r="F35" s="361"/>
      <c r="G35" s="368"/>
      <c r="H35" s="77"/>
      <c r="I35" s="365"/>
      <c r="J35" s="347"/>
      <c r="K35" s="85"/>
      <c r="L35" s="86"/>
      <c r="M35" s="84"/>
    </row>
    <row r="36" spans="1:13" s="101" customFormat="1" ht="16.5" thickBot="1" x14ac:dyDescent="0.35">
      <c r="A36" s="82"/>
      <c r="B36" s="214"/>
      <c r="C36" s="83"/>
      <c r="D36" s="347"/>
      <c r="E36" s="347"/>
      <c r="F36" s="361"/>
      <c r="G36" s="368"/>
      <c r="H36" s="77"/>
      <c r="I36" s="365"/>
      <c r="J36" s="347"/>
      <c r="K36" s="347"/>
      <c r="L36" s="86"/>
      <c r="M36" s="84"/>
    </row>
    <row r="37" spans="1:13" s="101" customFormat="1" x14ac:dyDescent="0.3">
      <c r="B37" s="102"/>
      <c r="G37" s="103"/>
      <c r="H37" s="103"/>
      <c r="I37" s="103"/>
    </row>
    <row r="38" spans="1:13" s="101" customFormat="1" x14ac:dyDescent="0.3">
      <c r="B38" s="102"/>
      <c r="G38" s="103"/>
      <c r="H38" s="103"/>
      <c r="I38" s="103"/>
    </row>
    <row r="39" spans="1:13" s="101" customFormat="1" x14ac:dyDescent="0.3">
      <c r="B39" s="102"/>
      <c r="G39" s="103"/>
      <c r="H39" s="103"/>
      <c r="I39" s="103"/>
    </row>
    <row r="40" spans="1:13" s="101" customFormat="1" x14ac:dyDescent="0.3">
      <c r="B40" s="102"/>
      <c r="G40" s="103"/>
      <c r="H40" s="103"/>
      <c r="I40" s="103"/>
    </row>
    <row r="41" spans="1:13" x14ac:dyDescent="0.25">
      <c r="B41" s="63"/>
      <c r="G41" s="64"/>
      <c r="H41" s="64"/>
    </row>
    <row r="42" spans="1:13" s="2" customFormat="1" x14ac:dyDescent="0.3">
      <c r="B42" s="98" t="s">
        <v>107</v>
      </c>
    </row>
    <row r="43" spans="1:13" s="2" customFormat="1" x14ac:dyDescent="0.3">
      <c r="C43" s="97"/>
      <c r="G43" s="97"/>
      <c r="H43" s="100"/>
      <c r="I43"/>
    </row>
    <row r="44" spans="1:13" s="2" customFormat="1" x14ac:dyDescent="0.3">
      <c r="A44"/>
      <c r="C44" s="96" t="s">
        <v>271</v>
      </c>
      <c r="G44" s="12" t="s">
        <v>276</v>
      </c>
      <c r="H44" s="99"/>
      <c r="I44"/>
      <c r="K44" s="12"/>
    </row>
    <row r="45" spans="1:13" s="2" customFormat="1" x14ac:dyDescent="0.3">
      <c r="A45"/>
      <c r="G45" s="2" t="s">
        <v>272</v>
      </c>
      <c r="H45"/>
      <c r="I45"/>
    </row>
    <row r="46" spans="1:13" customFormat="1" ht="15.75" x14ac:dyDescent="0.3">
      <c r="B46" s="2"/>
      <c r="C46" s="91" t="s">
        <v>140</v>
      </c>
      <c r="E46" s="64"/>
      <c r="F46" s="64"/>
      <c r="K46" s="64"/>
    </row>
    <row r="47" spans="1:13" customFormat="1" x14ac:dyDescent="0.25">
      <c r="E47" s="64"/>
      <c r="F47" s="64"/>
    </row>
    <row r="48" spans="1:13" customFormat="1" x14ac:dyDescent="0.25">
      <c r="E48" s="64"/>
      <c r="F48" s="64"/>
    </row>
    <row r="49" spans="5:6" customFormat="1" x14ac:dyDescent="0.25">
      <c r="E49" s="64"/>
      <c r="F49" s="64"/>
    </row>
    <row r="50" spans="5:6" customFormat="1" x14ac:dyDescent="0.25">
      <c r="E50" s="64"/>
      <c r="F50" s="64"/>
    </row>
    <row r="51" spans="5:6" customFormat="1" ht="12.75" x14ac:dyDescent="0.2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14 G18:I3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3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4 B18:B36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D22" sqref="D2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04" t="s">
        <v>307</v>
      </c>
      <c r="B1" s="106"/>
      <c r="C1" s="535" t="s">
        <v>110</v>
      </c>
      <c r="D1" s="535"/>
      <c r="E1" s="155"/>
    </row>
    <row r="2" spans="1:7" x14ac:dyDescent="0.3">
      <c r="A2" s="106" t="s">
        <v>141</v>
      </c>
      <c r="B2" s="106"/>
      <c r="C2" s="533" t="s">
        <v>618</v>
      </c>
      <c r="D2" s="534"/>
      <c r="E2" s="155"/>
    </row>
    <row r="3" spans="1:7" x14ac:dyDescent="0.3">
      <c r="A3" s="104"/>
      <c r="B3" s="106"/>
      <c r="C3" s="105"/>
      <c r="D3" s="105"/>
      <c r="E3" s="155"/>
    </row>
    <row r="4" spans="1:7" x14ac:dyDescent="0.3">
      <c r="A4" s="107" t="s">
        <v>277</v>
      </c>
      <c r="B4" s="147"/>
      <c r="C4" s="148"/>
      <c r="D4" s="106"/>
      <c r="E4" s="155"/>
    </row>
    <row r="5" spans="1:7" x14ac:dyDescent="0.3">
      <c r="A5" s="272" t="s">
        <v>520</v>
      </c>
      <c r="B5" s="110"/>
      <c r="C5" s="110"/>
      <c r="E5" s="155"/>
    </row>
    <row r="6" spans="1:7" x14ac:dyDescent="0.3">
      <c r="A6" s="149"/>
      <c r="B6" s="149"/>
      <c r="C6" s="149"/>
      <c r="D6" s="150"/>
      <c r="E6" s="155"/>
    </row>
    <row r="7" spans="1:7" x14ac:dyDescent="0.3">
      <c r="A7" s="106"/>
      <c r="B7" s="106"/>
      <c r="C7" s="106"/>
      <c r="D7" s="106"/>
      <c r="E7" s="155"/>
    </row>
    <row r="8" spans="1:7" s="6" customFormat="1" ht="39" customHeight="1" x14ac:dyDescent="0.3">
      <c r="A8" s="151" t="s">
        <v>64</v>
      </c>
      <c r="B8" s="109" t="s">
        <v>252</v>
      </c>
      <c r="C8" s="109" t="s">
        <v>66</v>
      </c>
      <c r="D8" s="109" t="s">
        <v>67</v>
      </c>
      <c r="E8" s="155"/>
    </row>
    <row r="9" spans="1:7" s="7" customFormat="1" ht="16.5" customHeight="1" x14ac:dyDescent="0.3">
      <c r="A9" s="292">
        <v>1</v>
      </c>
      <c r="B9" s="292" t="s">
        <v>65</v>
      </c>
      <c r="C9" s="115">
        <f>SUM(C10,C25)</f>
        <v>474150.51</v>
      </c>
      <c r="D9" s="115">
        <f>SUM(D10,D25)</f>
        <v>530046.05000000005</v>
      </c>
      <c r="E9" s="155"/>
    </row>
    <row r="10" spans="1:7" s="7" customFormat="1" ht="16.5" customHeight="1" x14ac:dyDescent="0.3">
      <c r="A10" s="117">
        <v>1.1000000000000001</v>
      </c>
      <c r="B10" s="117" t="s">
        <v>80</v>
      </c>
      <c r="C10" s="115">
        <f>SUM(C11,C12,C15,C18,C24)</f>
        <v>473233.51</v>
      </c>
      <c r="D10" s="115">
        <f>SUM(D11,D12,D15,D18,D23,D24)</f>
        <v>529129.05000000005</v>
      </c>
      <c r="E10" s="155"/>
    </row>
    <row r="11" spans="1:7" s="9" customFormat="1" ht="16.5" customHeight="1" x14ac:dyDescent="0.3">
      <c r="A11" s="118" t="s">
        <v>30</v>
      </c>
      <c r="B11" s="118" t="s">
        <v>79</v>
      </c>
      <c r="C11" s="8">
        <v>1200</v>
      </c>
      <c r="D11" s="8">
        <v>1200</v>
      </c>
      <c r="E11" s="155"/>
    </row>
    <row r="12" spans="1:7" s="10" customFormat="1" ht="16.5" customHeight="1" x14ac:dyDescent="0.3">
      <c r="A12" s="118" t="s">
        <v>31</v>
      </c>
      <c r="B12" s="118" t="s">
        <v>314</v>
      </c>
      <c r="C12" s="152">
        <f>SUM(C13:C14)</f>
        <v>130270</v>
      </c>
      <c r="D12" s="152">
        <f>SUM(D13:D14)</f>
        <v>130270</v>
      </c>
      <c r="E12" s="155"/>
      <c r="G12" s="95"/>
    </row>
    <row r="13" spans="1:7" s="3" customFormat="1" ht="16.5" customHeight="1" x14ac:dyDescent="0.3">
      <c r="A13" s="127" t="s">
        <v>81</v>
      </c>
      <c r="B13" s="127" t="s">
        <v>317</v>
      </c>
      <c r="C13" s="8">
        <v>130270</v>
      </c>
      <c r="D13" s="8">
        <v>130270</v>
      </c>
      <c r="E13" s="155"/>
    </row>
    <row r="14" spans="1:7" s="3" customFormat="1" ht="16.5" customHeight="1" x14ac:dyDescent="0.3">
      <c r="A14" s="127" t="s">
        <v>109</v>
      </c>
      <c r="B14" s="127" t="s">
        <v>97</v>
      </c>
      <c r="C14" s="8"/>
      <c r="D14" s="8"/>
      <c r="E14" s="155"/>
    </row>
    <row r="15" spans="1:7" s="3" customFormat="1" ht="16.5" customHeight="1" x14ac:dyDescent="0.3">
      <c r="A15" s="118" t="s">
        <v>82</v>
      </c>
      <c r="B15" s="118" t="s">
        <v>83</v>
      </c>
      <c r="C15" s="152">
        <f>SUM(C16:C17)</f>
        <v>287763.51</v>
      </c>
      <c r="D15" s="152">
        <f>SUM(D16:D17)</f>
        <v>287763.51</v>
      </c>
      <c r="E15" s="155"/>
    </row>
    <row r="16" spans="1:7" s="3" customFormat="1" ht="16.5" customHeight="1" x14ac:dyDescent="0.3">
      <c r="A16" s="127" t="s">
        <v>84</v>
      </c>
      <c r="B16" s="127" t="s">
        <v>86</v>
      </c>
      <c r="C16" s="8">
        <v>215115.87</v>
      </c>
      <c r="D16" s="8">
        <v>215115.87</v>
      </c>
      <c r="E16" s="155"/>
    </row>
    <row r="17" spans="1:6" s="3" customFormat="1" ht="30" x14ac:dyDescent="0.3">
      <c r="A17" s="127" t="s">
        <v>85</v>
      </c>
      <c r="B17" s="127" t="s">
        <v>111</v>
      </c>
      <c r="C17" s="8">
        <v>72647.64</v>
      </c>
      <c r="D17" s="8">
        <v>72647.64</v>
      </c>
      <c r="E17" s="155"/>
    </row>
    <row r="18" spans="1:6" s="3" customFormat="1" ht="16.5" customHeight="1" x14ac:dyDescent="0.3">
      <c r="A18" s="118" t="s">
        <v>87</v>
      </c>
      <c r="B18" s="118" t="s">
        <v>422</v>
      </c>
      <c r="C18" s="152">
        <f>SUM(C19:C22)</f>
        <v>0</v>
      </c>
      <c r="D18" s="152">
        <f>SUM(D19:D22)</f>
        <v>0</v>
      </c>
      <c r="E18" s="155"/>
    </row>
    <row r="19" spans="1:6" s="3" customFormat="1" ht="16.5" customHeight="1" x14ac:dyDescent="0.3">
      <c r="A19" s="127" t="s">
        <v>88</v>
      </c>
      <c r="B19" s="127" t="s">
        <v>89</v>
      </c>
      <c r="C19" s="8"/>
      <c r="D19" s="8"/>
      <c r="E19" s="155"/>
    </row>
    <row r="20" spans="1:6" s="3" customFormat="1" ht="30" x14ac:dyDescent="0.3">
      <c r="A20" s="127" t="s">
        <v>92</v>
      </c>
      <c r="B20" s="127" t="s">
        <v>90</v>
      </c>
      <c r="C20" s="8"/>
      <c r="D20" s="8"/>
      <c r="E20" s="155"/>
    </row>
    <row r="21" spans="1:6" s="3" customFormat="1" ht="16.5" customHeight="1" x14ac:dyDescent="0.3">
      <c r="A21" s="127" t="s">
        <v>93</v>
      </c>
      <c r="B21" s="127" t="s">
        <v>91</v>
      </c>
      <c r="C21" s="8"/>
      <c r="D21" s="8"/>
      <c r="E21" s="155"/>
    </row>
    <row r="22" spans="1:6" s="3" customFormat="1" ht="16.5" customHeight="1" x14ac:dyDescent="0.3">
      <c r="A22" s="127" t="s">
        <v>94</v>
      </c>
      <c r="B22" s="127" t="s">
        <v>448</v>
      </c>
      <c r="C22" s="8"/>
      <c r="D22" s="8"/>
      <c r="E22" s="155"/>
    </row>
    <row r="23" spans="1:6" s="3" customFormat="1" ht="16.5" customHeight="1" x14ac:dyDescent="0.3">
      <c r="A23" s="118" t="s">
        <v>95</v>
      </c>
      <c r="B23" s="118" t="s">
        <v>449</v>
      </c>
      <c r="C23" s="329">
        <v>55895.54</v>
      </c>
      <c r="D23" s="8">
        <v>55895.54</v>
      </c>
      <c r="E23" s="155"/>
    </row>
    <row r="24" spans="1:6" s="3" customFormat="1" x14ac:dyDescent="0.3">
      <c r="A24" s="118" t="s">
        <v>254</v>
      </c>
      <c r="B24" s="118" t="s">
        <v>455</v>
      </c>
      <c r="C24" s="8">
        <v>54000</v>
      </c>
      <c r="D24" s="8">
        <v>54000</v>
      </c>
      <c r="E24" s="155"/>
    </row>
    <row r="25" spans="1:6" ht="16.5" customHeight="1" x14ac:dyDescent="0.3">
      <c r="A25" s="117">
        <v>1.2</v>
      </c>
      <c r="B25" s="117" t="s">
        <v>96</v>
      </c>
      <c r="C25" s="115">
        <f>SUM(C26,C30)</f>
        <v>917</v>
      </c>
      <c r="D25" s="115">
        <f>SUM(D26,D30)</f>
        <v>917</v>
      </c>
      <c r="E25" s="155"/>
    </row>
    <row r="26" spans="1:6" ht="16.5" customHeight="1" x14ac:dyDescent="0.3">
      <c r="A26" s="118" t="s">
        <v>32</v>
      </c>
      <c r="B26" s="118" t="s">
        <v>317</v>
      </c>
      <c r="C26" s="152">
        <f>SUM(C27:C29)</f>
        <v>917</v>
      </c>
      <c r="D26" s="152">
        <v>917</v>
      </c>
      <c r="E26" s="155"/>
    </row>
    <row r="27" spans="1:6" x14ac:dyDescent="0.3">
      <c r="A27" s="300" t="s">
        <v>98</v>
      </c>
      <c r="B27" s="300" t="s">
        <v>315</v>
      </c>
      <c r="C27" s="8">
        <v>917</v>
      </c>
      <c r="D27" s="8">
        <v>917</v>
      </c>
      <c r="E27" s="155"/>
    </row>
    <row r="28" spans="1:6" x14ac:dyDescent="0.3">
      <c r="A28" s="300" t="s">
        <v>99</v>
      </c>
      <c r="B28" s="300" t="s">
        <v>318</v>
      </c>
      <c r="C28" s="8"/>
      <c r="D28" s="8"/>
      <c r="E28" s="155"/>
    </row>
    <row r="29" spans="1:6" x14ac:dyDescent="0.3">
      <c r="A29" s="300" t="s">
        <v>458</v>
      </c>
      <c r="B29" s="300" t="s">
        <v>316</v>
      </c>
      <c r="C29" s="8"/>
      <c r="D29" s="8"/>
      <c r="E29" s="155"/>
    </row>
    <row r="30" spans="1:6" x14ac:dyDescent="0.3">
      <c r="A30" s="118" t="s">
        <v>33</v>
      </c>
      <c r="B30" s="314" t="s">
        <v>454</v>
      </c>
      <c r="C30" s="8"/>
      <c r="D30" s="8"/>
      <c r="E30" s="155"/>
    </row>
    <row r="31" spans="1:6" x14ac:dyDescent="0.3">
      <c r="D31" s="27"/>
      <c r="E31" s="156"/>
      <c r="F31" s="27"/>
    </row>
    <row r="32" spans="1:6" x14ac:dyDescent="0.3">
      <c r="A32" s="1"/>
      <c r="D32" s="27"/>
      <c r="E32" s="156"/>
      <c r="F32" s="27"/>
    </row>
    <row r="33" spans="1:9" x14ac:dyDescent="0.3">
      <c r="D33" s="27"/>
      <c r="E33" s="156"/>
      <c r="F33" s="27"/>
    </row>
    <row r="34" spans="1:9" x14ac:dyDescent="0.3">
      <c r="D34" s="27"/>
      <c r="E34" s="156"/>
      <c r="F34" s="27"/>
    </row>
    <row r="35" spans="1:9" x14ac:dyDescent="0.3">
      <c r="A35" s="96" t="s">
        <v>107</v>
      </c>
      <c r="D35" s="27"/>
      <c r="E35" s="156"/>
      <c r="F35" s="27"/>
    </row>
    <row r="36" spans="1:9" x14ac:dyDescent="0.3">
      <c r="D36" s="27"/>
      <c r="E36" s="157"/>
      <c r="F36" s="157"/>
      <c r="G36"/>
      <c r="H36"/>
      <c r="I36"/>
    </row>
    <row r="37" spans="1:9" x14ac:dyDescent="0.3">
      <c r="D37" s="158"/>
      <c r="E37" s="157"/>
      <c r="F37" s="157"/>
      <c r="G37"/>
      <c r="H37"/>
      <c r="I37"/>
    </row>
    <row r="38" spans="1:9" x14ac:dyDescent="0.3">
      <c r="A38"/>
      <c r="B38" s="96" t="s">
        <v>274</v>
      </c>
      <c r="D38" s="158"/>
      <c r="E38" s="157"/>
      <c r="F38" s="157"/>
      <c r="G38"/>
      <c r="H38"/>
      <c r="I38"/>
    </row>
    <row r="39" spans="1:9" x14ac:dyDescent="0.3">
      <c r="A39"/>
      <c r="B39" s="2" t="s">
        <v>273</v>
      </c>
      <c r="D39" s="158"/>
      <c r="E39" s="157"/>
      <c r="F39" s="157"/>
      <c r="G39"/>
      <c r="H39"/>
      <c r="I39"/>
    </row>
    <row r="40" spans="1:9" customFormat="1" ht="12.75" x14ac:dyDescent="0.2">
      <c r="B40" s="91" t="s">
        <v>140</v>
      </c>
      <c r="D40" s="157"/>
      <c r="E40" s="157"/>
      <c r="F40" s="157"/>
    </row>
    <row r="41" spans="1:9" x14ac:dyDescent="0.3">
      <c r="D41" s="27"/>
      <c r="E41" s="156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C33" sqref="C33"/>
    </sheetView>
  </sheetViews>
  <sheetFormatPr defaultRowHeight="15" x14ac:dyDescent="0.3"/>
  <cols>
    <col min="1" max="1" width="14.28515625" style="21" bestFit="1" customWidth="1"/>
    <col min="2" max="2" width="80" style="30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04" t="s">
        <v>275</v>
      </c>
      <c r="B1" s="305"/>
      <c r="C1" s="535" t="s">
        <v>110</v>
      </c>
      <c r="D1" s="535"/>
      <c r="E1" s="160"/>
    </row>
    <row r="2" spans="1:12" s="6" customFormat="1" x14ac:dyDescent="0.3">
      <c r="A2" s="106" t="s">
        <v>141</v>
      </c>
      <c r="B2" s="305"/>
      <c r="C2" s="533" t="s">
        <v>618</v>
      </c>
      <c r="D2" s="534"/>
      <c r="E2" s="160"/>
    </row>
    <row r="3" spans="1:12" s="6" customFormat="1" x14ac:dyDescent="0.3">
      <c r="A3" s="106"/>
      <c r="B3" s="305"/>
      <c r="C3" s="105"/>
      <c r="D3" s="105"/>
      <c r="E3" s="160"/>
    </row>
    <row r="4" spans="1:12" s="2" customFormat="1" x14ac:dyDescent="0.3">
      <c r="A4" s="107" t="str">
        <f>'ფორმა N2'!A4</f>
        <v>ანგარიშვალდებული პირის დასახელება:</v>
      </c>
      <c r="B4" s="306"/>
      <c r="C4" s="106"/>
      <c r="D4" s="106"/>
      <c r="E4" s="155"/>
      <c r="L4" s="6"/>
    </row>
    <row r="5" spans="1:12" s="2" customFormat="1" x14ac:dyDescent="0.3">
      <c r="A5" s="272" t="s">
        <v>520</v>
      </c>
      <c r="B5" s="110"/>
      <c r="C5" s="110"/>
      <c r="D5" s="110"/>
      <c r="E5" s="110"/>
      <c r="F5" s="110"/>
      <c r="G5" s="106"/>
    </row>
    <row r="6" spans="1:12" s="2" customFormat="1" x14ac:dyDescent="0.3">
      <c r="A6" s="107"/>
      <c r="B6" s="306"/>
      <c r="C6" s="106"/>
      <c r="D6" s="106"/>
      <c r="E6" s="155"/>
    </row>
    <row r="7" spans="1:12" s="6" customFormat="1" ht="18" x14ac:dyDescent="0.3">
      <c r="A7" s="130"/>
      <c r="B7" s="159"/>
      <c r="C7" s="108"/>
      <c r="D7" s="108"/>
      <c r="E7" s="160"/>
    </row>
    <row r="8" spans="1:12" s="6" customFormat="1" ht="30" x14ac:dyDescent="0.3">
      <c r="A8" s="151" t="s">
        <v>64</v>
      </c>
      <c r="B8" s="109" t="s">
        <v>252</v>
      </c>
      <c r="C8" s="109" t="s">
        <v>66</v>
      </c>
      <c r="D8" s="109" t="s">
        <v>67</v>
      </c>
      <c r="E8" s="160"/>
      <c r="F8" s="20"/>
    </row>
    <row r="9" spans="1:12" s="7" customFormat="1" x14ac:dyDescent="0.3">
      <c r="A9" s="292">
        <v>1</v>
      </c>
      <c r="B9" s="292" t="s">
        <v>65</v>
      </c>
      <c r="C9" s="115">
        <f>SUM(C10,C25)</f>
        <v>241740.66</v>
      </c>
      <c r="D9" s="115">
        <f>SUM(D10,D25)</f>
        <v>241740.66</v>
      </c>
      <c r="E9" s="160"/>
    </row>
    <row r="10" spans="1:12" s="7" customFormat="1" x14ac:dyDescent="0.3">
      <c r="A10" s="117">
        <v>1.1000000000000001</v>
      </c>
      <c r="B10" s="117" t="s">
        <v>80</v>
      </c>
      <c r="C10" s="115">
        <f>SUM(C11,C12,C15,C18,C24)</f>
        <v>235625</v>
      </c>
      <c r="D10" s="115">
        <f>SUM(D11,D12,D15,D18,D23,D24)</f>
        <v>235625</v>
      </c>
      <c r="E10" s="160"/>
    </row>
    <row r="11" spans="1:12" s="9" customFormat="1" ht="18" x14ac:dyDescent="0.3">
      <c r="A11" s="118" t="s">
        <v>30</v>
      </c>
      <c r="B11" s="118" t="s">
        <v>79</v>
      </c>
      <c r="C11" s="8"/>
      <c r="D11" s="8"/>
      <c r="E11" s="160"/>
    </row>
    <row r="12" spans="1:12" s="10" customFormat="1" x14ac:dyDescent="0.3">
      <c r="A12" s="118" t="s">
        <v>31</v>
      </c>
      <c r="B12" s="118" t="s">
        <v>314</v>
      </c>
      <c r="C12" s="152">
        <f>SUM(C13:C14)</f>
        <v>300</v>
      </c>
      <c r="D12" s="152">
        <f>SUM(D13:D14)</f>
        <v>300</v>
      </c>
      <c r="E12" s="160"/>
    </row>
    <row r="13" spans="1:12" s="3" customFormat="1" x14ac:dyDescent="0.3">
      <c r="A13" s="127" t="s">
        <v>81</v>
      </c>
      <c r="B13" s="127" t="s">
        <v>317</v>
      </c>
      <c r="C13" s="8">
        <v>300</v>
      </c>
      <c r="D13" s="8">
        <v>300</v>
      </c>
      <c r="E13" s="160"/>
    </row>
    <row r="14" spans="1:12" s="3" customFormat="1" x14ac:dyDescent="0.3">
      <c r="A14" s="127" t="s">
        <v>109</v>
      </c>
      <c r="B14" s="127" t="s">
        <v>97</v>
      </c>
      <c r="C14" s="8"/>
      <c r="D14" s="8"/>
      <c r="E14" s="160"/>
    </row>
    <row r="15" spans="1:12" s="3" customFormat="1" x14ac:dyDescent="0.3">
      <c r="A15" s="118" t="s">
        <v>82</v>
      </c>
      <c r="B15" s="118" t="s">
        <v>83</v>
      </c>
      <c r="C15" s="152">
        <f>SUM(C16:C17)</f>
        <v>235325</v>
      </c>
      <c r="D15" s="152">
        <f>SUM(D16:D17)</f>
        <v>235325</v>
      </c>
      <c r="E15" s="160"/>
    </row>
    <row r="16" spans="1:12" s="3" customFormat="1" x14ac:dyDescent="0.3">
      <c r="A16" s="127" t="s">
        <v>84</v>
      </c>
      <c r="B16" s="127" t="s">
        <v>86</v>
      </c>
      <c r="C16" s="8">
        <v>235325</v>
      </c>
      <c r="D16" s="8">
        <v>235325</v>
      </c>
      <c r="E16" s="160"/>
    </row>
    <row r="17" spans="1:5" s="3" customFormat="1" ht="30" x14ac:dyDescent="0.3">
      <c r="A17" s="127" t="s">
        <v>85</v>
      </c>
      <c r="B17" s="127" t="s">
        <v>111</v>
      </c>
      <c r="C17" s="8"/>
      <c r="D17" s="8"/>
      <c r="E17" s="160"/>
    </row>
    <row r="18" spans="1:5" s="3" customFormat="1" x14ac:dyDescent="0.3">
      <c r="A18" s="118" t="s">
        <v>87</v>
      </c>
      <c r="B18" s="118" t="s">
        <v>422</v>
      </c>
      <c r="C18" s="152">
        <f>SUM(C19:C22)</f>
        <v>0</v>
      </c>
      <c r="D18" s="152">
        <f>SUM(D19:D22)</f>
        <v>0</v>
      </c>
      <c r="E18" s="160"/>
    </row>
    <row r="19" spans="1:5" s="3" customFormat="1" x14ac:dyDescent="0.3">
      <c r="A19" s="127" t="s">
        <v>88</v>
      </c>
      <c r="B19" s="127" t="s">
        <v>89</v>
      </c>
      <c r="C19" s="8"/>
      <c r="D19" s="8"/>
      <c r="E19" s="160"/>
    </row>
    <row r="20" spans="1:5" s="3" customFormat="1" ht="30" x14ac:dyDescent="0.3">
      <c r="A20" s="127" t="s">
        <v>92</v>
      </c>
      <c r="B20" s="127" t="s">
        <v>90</v>
      </c>
      <c r="C20" s="8"/>
      <c r="D20" s="8"/>
      <c r="E20" s="160"/>
    </row>
    <row r="21" spans="1:5" s="3" customFormat="1" x14ac:dyDescent="0.3">
      <c r="A21" s="127" t="s">
        <v>93</v>
      </c>
      <c r="B21" s="127" t="s">
        <v>91</v>
      </c>
      <c r="C21" s="8"/>
      <c r="D21" s="8"/>
      <c r="E21" s="160"/>
    </row>
    <row r="22" spans="1:5" s="3" customFormat="1" x14ac:dyDescent="0.3">
      <c r="A22" s="127" t="s">
        <v>94</v>
      </c>
      <c r="B22" s="127" t="s">
        <v>448</v>
      </c>
      <c r="C22" s="8"/>
      <c r="D22" s="8"/>
      <c r="E22" s="160"/>
    </row>
    <row r="23" spans="1:5" s="3" customFormat="1" x14ac:dyDescent="0.3">
      <c r="A23" s="118" t="s">
        <v>95</v>
      </c>
      <c r="B23" s="118" t="s">
        <v>449</v>
      </c>
      <c r="C23" s="329"/>
      <c r="D23" s="8"/>
      <c r="E23" s="160"/>
    </row>
    <row r="24" spans="1:5" s="3" customFormat="1" x14ac:dyDescent="0.3">
      <c r="A24" s="118" t="s">
        <v>254</v>
      </c>
      <c r="B24" s="118" t="s">
        <v>455</v>
      </c>
      <c r="C24" s="8"/>
      <c r="D24" s="8"/>
      <c r="E24" s="160"/>
    </row>
    <row r="25" spans="1:5" s="3" customFormat="1" x14ac:dyDescent="0.3">
      <c r="A25" s="117">
        <v>1.2</v>
      </c>
      <c r="B25" s="292" t="s">
        <v>96</v>
      </c>
      <c r="C25" s="115">
        <f>SUM(C26,C30)</f>
        <v>6115.66</v>
      </c>
      <c r="D25" s="115">
        <f>SUM(D26,D30)</f>
        <v>6115.66</v>
      </c>
      <c r="E25" s="160"/>
    </row>
    <row r="26" spans="1:5" x14ac:dyDescent="0.3">
      <c r="A26" s="118" t="s">
        <v>32</v>
      </c>
      <c r="B26" s="118" t="s">
        <v>317</v>
      </c>
      <c r="C26" s="152">
        <f>SUM(C27:C29)</f>
        <v>6115.66</v>
      </c>
      <c r="D26" s="152">
        <f>SUM(D27:D29)</f>
        <v>6115.66</v>
      </c>
      <c r="E26" s="160"/>
    </row>
    <row r="27" spans="1:5" x14ac:dyDescent="0.3">
      <c r="A27" s="300" t="s">
        <v>98</v>
      </c>
      <c r="B27" s="127" t="s">
        <v>315</v>
      </c>
      <c r="C27" s="8">
        <v>6115.66</v>
      </c>
      <c r="D27" s="8">
        <v>6115.66</v>
      </c>
      <c r="E27" s="160"/>
    </row>
    <row r="28" spans="1:5" x14ac:dyDescent="0.3">
      <c r="A28" s="300" t="s">
        <v>99</v>
      </c>
      <c r="B28" s="127" t="s">
        <v>318</v>
      </c>
      <c r="C28" s="8"/>
      <c r="D28" s="8"/>
      <c r="E28" s="160"/>
    </row>
    <row r="29" spans="1:5" x14ac:dyDescent="0.3">
      <c r="A29" s="300" t="s">
        <v>458</v>
      </c>
      <c r="B29" s="127" t="s">
        <v>316</v>
      </c>
      <c r="C29" s="8"/>
      <c r="D29" s="8"/>
      <c r="E29" s="160"/>
    </row>
    <row r="30" spans="1:5" x14ac:dyDescent="0.3">
      <c r="A30" s="118" t="s">
        <v>33</v>
      </c>
      <c r="B30" s="327" t="s">
        <v>456</v>
      </c>
      <c r="C30" s="8"/>
      <c r="D30" s="8"/>
      <c r="E30" s="160"/>
    </row>
    <row r="31" spans="1:5" s="23" customFormat="1" ht="12.75" x14ac:dyDescent="0.2">
      <c r="B31" s="307"/>
    </row>
    <row r="32" spans="1:5" s="2" customFormat="1" x14ac:dyDescent="0.3">
      <c r="A32" s="1"/>
      <c r="B32" s="308"/>
      <c r="E32" s="5"/>
    </row>
    <row r="33" spans="1:9" s="2" customFormat="1" x14ac:dyDescent="0.3">
      <c r="B33" s="308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96" t="s">
        <v>107</v>
      </c>
      <c r="B36" s="308"/>
      <c r="E36" s="5"/>
    </row>
    <row r="37" spans="1:9" s="2" customFormat="1" x14ac:dyDescent="0.3">
      <c r="B37" s="308"/>
      <c r="E37"/>
      <c r="F37"/>
      <c r="G37"/>
      <c r="H37"/>
      <c r="I37"/>
    </row>
    <row r="38" spans="1:9" s="2" customFormat="1" x14ac:dyDescent="0.3">
      <c r="B38" s="308"/>
      <c r="D38" s="12"/>
      <c r="E38"/>
      <c r="F38"/>
      <c r="G38"/>
      <c r="H38"/>
      <c r="I38"/>
    </row>
    <row r="39" spans="1:9" s="2" customFormat="1" x14ac:dyDescent="0.3">
      <c r="A39"/>
      <c r="B39" s="310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308" t="s">
        <v>273</v>
      </c>
      <c r="D40" s="12"/>
      <c r="E40"/>
      <c r="F40"/>
      <c r="G40"/>
      <c r="H40"/>
      <c r="I40"/>
    </row>
    <row r="41" spans="1:9" customFormat="1" ht="12.75" x14ac:dyDescent="0.2">
      <c r="B41" s="311" t="s">
        <v>140</v>
      </c>
    </row>
    <row r="42" spans="1:9" customFormat="1" ht="12.75" x14ac:dyDescent="0.2">
      <c r="B42" s="31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4" t="s">
        <v>410</v>
      </c>
      <c r="B1" s="290"/>
      <c r="C1" s="535" t="s">
        <v>110</v>
      </c>
      <c r="D1" s="535"/>
      <c r="E1" s="121"/>
    </row>
    <row r="2" spans="1:5" s="6" customFormat="1" x14ac:dyDescent="0.3">
      <c r="A2" s="104" t="s">
        <v>411</v>
      </c>
      <c r="B2" s="290"/>
      <c r="C2" s="533" t="s">
        <v>618</v>
      </c>
      <c r="D2" s="534"/>
      <c r="E2" s="121"/>
    </row>
    <row r="3" spans="1:5" s="6" customFormat="1" x14ac:dyDescent="0.3">
      <c r="A3" s="104" t="s">
        <v>412</v>
      </c>
      <c r="B3" s="290"/>
      <c r="C3" s="291"/>
      <c r="D3" s="291"/>
      <c r="E3" s="121"/>
    </row>
    <row r="4" spans="1:5" s="6" customFormat="1" x14ac:dyDescent="0.3">
      <c r="A4" s="106" t="s">
        <v>141</v>
      </c>
      <c r="B4" s="290"/>
      <c r="C4" s="291"/>
      <c r="D4" s="291"/>
      <c r="E4" s="121"/>
    </row>
    <row r="5" spans="1:5" s="6" customFormat="1" x14ac:dyDescent="0.3">
      <c r="A5" s="106"/>
      <c r="B5" s="290"/>
      <c r="C5" s="291"/>
      <c r="D5" s="291"/>
      <c r="E5" s="121"/>
    </row>
    <row r="6" spans="1:5" x14ac:dyDescent="0.3">
      <c r="A6" s="107" t="str">
        <f>'[1]ფორმა N2'!A4</f>
        <v>ანგარიშვალდებული პირის დასახელება:</v>
      </c>
      <c r="B6" s="107"/>
      <c r="C6" s="106"/>
      <c r="D6" s="106"/>
      <c r="E6" s="122"/>
    </row>
    <row r="7" spans="1:5" x14ac:dyDescent="0.3">
      <c r="A7" s="272" t="s">
        <v>520</v>
      </c>
      <c r="B7" s="110"/>
      <c r="C7" s="110"/>
      <c r="D7" s="111"/>
      <c r="E7" s="122"/>
    </row>
    <row r="8" spans="1:5" x14ac:dyDescent="0.3">
      <c r="A8" s="107"/>
      <c r="B8" s="107"/>
      <c r="C8" s="106"/>
      <c r="D8" s="106"/>
      <c r="E8" s="122"/>
    </row>
    <row r="9" spans="1:5" s="6" customFormat="1" x14ac:dyDescent="0.3">
      <c r="A9" s="290"/>
      <c r="B9" s="290"/>
      <c r="C9" s="108"/>
      <c r="D9" s="108"/>
      <c r="E9" s="121"/>
    </row>
    <row r="10" spans="1:5" s="6" customFormat="1" ht="30" x14ac:dyDescent="0.3">
      <c r="A10" s="119" t="s">
        <v>64</v>
      </c>
      <c r="B10" s="120" t="s">
        <v>11</v>
      </c>
      <c r="C10" s="109" t="s">
        <v>10</v>
      </c>
      <c r="D10" s="109" t="s">
        <v>9</v>
      </c>
      <c r="E10" s="121"/>
    </row>
    <row r="11" spans="1:5" s="7" customFormat="1" x14ac:dyDescent="0.2">
      <c r="A11" s="292">
        <v>1</v>
      </c>
      <c r="B11" s="292" t="s">
        <v>57</v>
      </c>
      <c r="C11" s="112">
        <f>SUM(C12,C15,C54,C57,C58,C59,C77)</f>
        <v>560194.49</v>
      </c>
      <c r="D11" s="112">
        <f>SUM(D12,D15,D54,D57,D58,D59,D65,D73,D74)</f>
        <v>474402.86</v>
      </c>
      <c r="E11" s="293"/>
    </row>
    <row r="12" spans="1:5" s="9" customFormat="1" ht="18" x14ac:dyDescent="0.2">
      <c r="A12" s="117">
        <v>1.1000000000000001</v>
      </c>
      <c r="B12" s="117" t="s">
        <v>58</v>
      </c>
      <c r="C12" s="113">
        <f>SUM(C13:C14)</f>
        <v>52088</v>
      </c>
      <c r="D12" s="113">
        <f>SUM(D13:D14)</f>
        <v>52088</v>
      </c>
      <c r="E12" s="123"/>
    </row>
    <row r="13" spans="1:5" s="10" customFormat="1" x14ac:dyDescent="0.2">
      <c r="A13" s="118" t="s">
        <v>30</v>
      </c>
      <c r="B13" s="118" t="s">
        <v>59</v>
      </c>
      <c r="C13" s="4">
        <v>52088</v>
      </c>
      <c r="D13" s="4">
        <v>52088</v>
      </c>
      <c r="E13" s="124"/>
    </row>
    <row r="14" spans="1:5" s="3" customFormat="1" x14ac:dyDescent="0.2">
      <c r="A14" s="118" t="s">
        <v>31</v>
      </c>
      <c r="B14" s="118" t="s">
        <v>0</v>
      </c>
      <c r="C14" s="4"/>
      <c r="D14" s="4"/>
      <c r="E14" s="125"/>
    </row>
    <row r="15" spans="1:5" s="7" customFormat="1" x14ac:dyDescent="0.2">
      <c r="A15" s="117">
        <v>1.2</v>
      </c>
      <c r="B15" s="117" t="s">
        <v>60</v>
      </c>
      <c r="C15" s="114">
        <f>SUM(C16,C19,C31,C32,C33,C34,C37,C38,C44:C48,C52,C53)</f>
        <v>496163.39</v>
      </c>
      <c r="D15" s="114">
        <f>SUM(D16,D19,D31,D32,D33,D34,D37,D38,D44:D48,D52,D53)</f>
        <v>329966.67</v>
      </c>
      <c r="E15" s="293"/>
    </row>
    <row r="16" spans="1:5" s="3" customFormat="1" x14ac:dyDescent="0.2">
      <c r="A16" s="118" t="s">
        <v>32</v>
      </c>
      <c r="B16" s="118" t="s">
        <v>1</v>
      </c>
      <c r="C16" s="113">
        <f>SUM(C17:C18)</f>
        <v>6848</v>
      </c>
      <c r="D16" s="113">
        <f>SUM(D17:D18)</f>
        <v>6848</v>
      </c>
      <c r="E16" s="125"/>
    </row>
    <row r="17" spans="1:6" s="3" customFormat="1" x14ac:dyDescent="0.2">
      <c r="A17" s="127" t="s">
        <v>98</v>
      </c>
      <c r="B17" s="127" t="s">
        <v>61</v>
      </c>
      <c r="C17" s="4">
        <v>5370</v>
      </c>
      <c r="D17" s="294">
        <v>5370</v>
      </c>
      <c r="E17" s="125"/>
    </row>
    <row r="18" spans="1:6" s="3" customFormat="1" x14ac:dyDescent="0.2">
      <c r="A18" s="127" t="s">
        <v>99</v>
      </c>
      <c r="B18" s="127" t="s">
        <v>62</v>
      </c>
      <c r="C18" s="4">
        <v>1478</v>
      </c>
      <c r="D18" s="294">
        <v>1478</v>
      </c>
      <c r="E18" s="125"/>
    </row>
    <row r="19" spans="1:6" s="3" customFormat="1" x14ac:dyDescent="0.2">
      <c r="A19" s="118" t="s">
        <v>33</v>
      </c>
      <c r="B19" s="118" t="s">
        <v>2</v>
      </c>
      <c r="C19" s="113">
        <f>SUM(C20:C25,C30)</f>
        <v>56716.389999999992</v>
      </c>
      <c r="D19" s="113">
        <f>SUM(D20:D25,D30)</f>
        <v>36617.67</v>
      </c>
      <c r="E19" s="295"/>
      <c r="F19" s="296"/>
    </row>
    <row r="20" spans="1:6" s="299" customFormat="1" ht="30" x14ac:dyDescent="0.2">
      <c r="A20" s="127" t="s">
        <v>12</v>
      </c>
      <c r="B20" s="127" t="s">
        <v>253</v>
      </c>
      <c r="C20" s="297">
        <v>6611.96</v>
      </c>
      <c r="D20" s="38">
        <v>5484</v>
      </c>
      <c r="E20" s="298"/>
    </row>
    <row r="21" spans="1:6" s="299" customFormat="1" x14ac:dyDescent="0.2">
      <c r="A21" s="127" t="s">
        <v>13</v>
      </c>
      <c r="B21" s="127" t="s">
        <v>14</v>
      </c>
      <c r="C21" s="297">
        <v>2336</v>
      </c>
      <c r="D21" s="39">
        <v>2336</v>
      </c>
      <c r="E21" s="298"/>
    </row>
    <row r="22" spans="1:6" s="299" customFormat="1" ht="30" x14ac:dyDescent="0.2">
      <c r="A22" s="127" t="s">
        <v>287</v>
      </c>
      <c r="B22" s="127" t="s">
        <v>22</v>
      </c>
      <c r="C22" s="297"/>
      <c r="D22" s="40"/>
      <c r="E22" s="298"/>
    </row>
    <row r="23" spans="1:6" s="299" customFormat="1" ht="16.5" customHeight="1" x14ac:dyDescent="0.2">
      <c r="A23" s="127" t="s">
        <v>288</v>
      </c>
      <c r="B23" s="127" t="s">
        <v>15</v>
      </c>
      <c r="C23" s="297">
        <v>20936.259999999998</v>
      </c>
      <c r="D23" s="40">
        <v>17762.669999999998</v>
      </c>
      <c r="E23" s="298"/>
    </row>
    <row r="24" spans="1:6" s="299" customFormat="1" ht="16.5" customHeight="1" x14ac:dyDescent="0.2">
      <c r="A24" s="127" t="s">
        <v>289</v>
      </c>
      <c r="B24" s="127" t="s">
        <v>16</v>
      </c>
      <c r="C24" s="297"/>
      <c r="D24" s="40"/>
      <c r="E24" s="298"/>
    </row>
    <row r="25" spans="1:6" s="299" customFormat="1" ht="16.5" customHeight="1" x14ac:dyDescent="0.2">
      <c r="A25" s="127" t="s">
        <v>290</v>
      </c>
      <c r="B25" s="127" t="s">
        <v>17</v>
      </c>
      <c r="C25" s="113">
        <f>SUM(C26:C29)</f>
        <v>22677.1</v>
      </c>
      <c r="D25" s="113">
        <f>SUM(D26:D29)</f>
        <v>6880</v>
      </c>
      <c r="E25" s="298"/>
    </row>
    <row r="26" spans="1:6" s="299" customFormat="1" ht="16.5" customHeight="1" x14ac:dyDescent="0.2">
      <c r="A26" s="300" t="s">
        <v>291</v>
      </c>
      <c r="B26" s="300" t="s">
        <v>18</v>
      </c>
      <c r="C26" s="297">
        <v>20982.38</v>
      </c>
      <c r="D26" s="40">
        <v>5967</v>
      </c>
      <c r="E26" s="298"/>
    </row>
    <row r="27" spans="1:6" s="299" customFormat="1" ht="16.5" customHeight="1" x14ac:dyDescent="0.2">
      <c r="A27" s="300" t="s">
        <v>292</v>
      </c>
      <c r="B27" s="300" t="s">
        <v>19</v>
      </c>
      <c r="C27" s="297">
        <v>919.61</v>
      </c>
      <c r="D27" s="40">
        <v>205</v>
      </c>
      <c r="E27" s="298"/>
    </row>
    <row r="28" spans="1:6" s="299" customFormat="1" ht="16.5" customHeight="1" x14ac:dyDescent="0.2">
      <c r="A28" s="300" t="s">
        <v>293</v>
      </c>
      <c r="B28" s="300" t="s">
        <v>20</v>
      </c>
      <c r="C28" s="297">
        <v>263.76</v>
      </c>
      <c r="D28" s="40">
        <v>255</v>
      </c>
      <c r="E28" s="298"/>
    </row>
    <row r="29" spans="1:6" s="299" customFormat="1" ht="16.5" customHeight="1" x14ac:dyDescent="0.2">
      <c r="A29" s="300" t="s">
        <v>294</v>
      </c>
      <c r="B29" s="300" t="s">
        <v>23</v>
      </c>
      <c r="C29" s="297">
        <v>511.35</v>
      </c>
      <c r="D29" s="41">
        <v>453</v>
      </c>
      <c r="E29" s="298"/>
    </row>
    <row r="30" spans="1:6" s="299" customFormat="1" ht="16.5" customHeight="1" x14ac:dyDescent="0.2">
      <c r="A30" s="127" t="s">
        <v>295</v>
      </c>
      <c r="B30" s="127" t="s">
        <v>21</v>
      </c>
      <c r="C30" s="297">
        <v>4155.07</v>
      </c>
      <c r="D30" s="41">
        <v>4155</v>
      </c>
      <c r="E30" s="298"/>
    </row>
    <row r="31" spans="1:6" s="3" customFormat="1" ht="16.5" customHeight="1" x14ac:dyDescent="0.2">
      <c r="A31" s="118" t="s">
        <v>34</v>
      </c>
      <c r="B31" s="118" t="s">
        <v>3</v>
      </c>
      <c r="C31" s="4">
        <v>11551</v>
      </c>
      <c r="D31" s="294">
        <v>11551</v>
      </c>
      <c r="E31" s="295"/>
    </row>
    <row r="32" spans="1:6" s="3" customFormat="1" ht="16.5" customHeight="1" x14ac:dyDescent="0.2">
      <c r="A32" s="118" t="s">
        <v>35</v>
      </c>
      <c r="B32" s="118" t="s">
        <v>4</v>
      </c>
      <c r="C32" s="4">
        <v>466</v>
      </c>
      <c r="D32" s="294">
        <v>466</v>
      </c>
      <c r="E32" s="125"/>
    </row>
    <row r="33" spans="1:5" s="3" customFormat="1" ht="16.5" customHeight="1" x14ac:dyDescent="0.2">
      <c r="A33" s="118" t="s">
        <v>36</v>
      </c>
      <c r="B33" s="118" t="s">
        <v>5</v>
      </c>
      <c r="C33" s="4"/>
      <c r="D33" s="294"/>
      <c r="E33" s="125"/>
    </row>
    <row r="34" spans="1:5" s="3" customFormat="1" x14ac:dyDescent="0.2">
      <c r="A34" s="118" t="s">
        <v>37</v>
      </c>
      <c r="B34" s="118" t="s">
        <v>63</v>
      </c>
      <c r="C34" s="113">
        <f>SUM(C35:C36)</f>
        <v>53241</v>
      </c>
      <c r="D34" s="113">
        <f>SUM(D35:D36)</f>
        <v>53241</v>
      </c>
      <c r="E34" s="125"/>
    </row>
    <row r="35" spans="1:5" s="3" customFormat="1" ht="16.5" customHeight="1" x14ac:dyDescent="0.2">
      <c r="A35" s="127" t="s">
        <v>296</v>
      </c>
      <c r="B35" s="127" t="s">
        <v>56</v>
      </c>
      <c r="C35" s="4">
        <v>49625</v>
      </c>
      <c r="D35" s="294">
        <v>49625</v>
      </c>
      <c r="E35" s="125"/>
    </row>
    <row r="36" spans="1:5" s="3" customFormat="1" ht="16.5" customHeight="1" x14ac:dyDescent="0.2">
      <c r="A36" s="127" t="s">
        <v>297</v>
      </c>
      <c r="B36" s="127" t="s">
        <v>55</v>
      </c>
      <c r="C36" s="4">
        <v>3616</v>
      </c>
      <c r="D36" s="294">
        <v>3616</v>
      </c>
      <c r="E36" s="125"/>
    </row>
    <row r="37" spans="1:5" s="3" customFormat="1" ht="16.5" customHeight="1" x14ac:dyDescent="0.2">
      <c r="A37" s="118" t="s">
        <v>38</v>
      </c>
      <c r="B37" s="118" t="s">
        <v>49</v>
      </c>
      <c r="C37" s="4">
        <v>4287</v>
      </c>
      <c r="D37" s="294">
        <v>4148</v>
      </c>
      <c r="E37" s="125"/>
    </row>
    <row r="38" spans="1:5" s="3" customFormat="1" ht="16.5" customHeight="1" x14ac:dyDescent="0.2">
      <c r="A38" s="118" t="s">
        <v>39</v>
      </c>
      <c r="B38" s="118" t="s">
        <v>413</v>
      </c>
      <c r="C38" s="113">
        <f>SUM(C39:C43)</f>
        <v>118606</v>
      </c>
      <c r="D38" s="113">
        <f>SUM(D39:D43)</f>
        <v>72957</v>
      </c>
      <c r="E38" s="125"/>
    </row>
    <row r="39" spans="1:5" s="3" customFormat="1" ht="16.5" customHeight="1" x14ac:dyDescent="0.2">
      <c r="A39" s="17" t="s">
        <v>359</v>
      </c>
      <c r="B39" s="17" t="s">
        <v>363</v>
      </c>
      <c r="C39" s="4">
        <v>81636</v>
      </c>
      <c r="D39" s="294">
        <v>42870</v>
      </c>
      <c r="E39" s="125"/>
    </row>
    <row r="40" spans="1:5" s="3" customFormat="1" ht="16.5" customHeight="1" x14ac:dyDescent="0.2">
      <c r="A40" s="17" t="s">
        <v>360</v>
      </c>
      <c r="B40" s="17" t="s">
        <v>364</v>
      </c>
      <c r="C40" s="4">
        <v>7670</v>
      </c>
      <c r="D40" s="294">
        <v>7670</v>
      </c>
      <c r="E40" s="125"/>
    </row>
    <row r="41" spans="1:5" s="3" customFormat="1" ht="16.5" customHeight="1" x14ac:dyDescent="0.2">
      <c r="A41" s="17" t="s">
        <v>361</v>
      </c>
      <c r="B41" s="17" t="s">
        <v>367</v>
      </c>
      <c r="C41" s="4"/>
      <c r="D41" s="294"/>
      <c r="E41" s="125"/>
    </row>
    <row r="42" spans="1:5" s="3" customFormat="1" ht="16.5" customHeight="1" x14ac:dyDescent="0.2">
      <c r="A42" s="17" t="s">
        <v>366</v>
      </c>
      <c r="B42" s="17" t="s">
        <v>368</v>
      </c>
      <c r="C42" s="4"/>
      <c r="D42" s="294"/>
      <c r="E42" s="125"/>
    </row>
    <row r="43" spans="1:5" s="3" customFormat="1" ht="16.5" customHeight="1" x14ac:dyDescent="0.2">
      <c r="A43" s="17" t="s">
        <v>369</v>
      </c>
      <c r="B43" s="17" t="s">
        <v>365</v>
      </c>
      <c r="C43" s="4">
        <v>29300</v>
      </c>
      <c r="D43" s="294">
        <v>22417</v>
      </c>
      <c r="E43" s="125"/>
    </row>
    <row r="44" spans="1:5" s="3" customFormat="1" ht="30" x14ac:dyDescent="0.2">
      <c r="A44" s="118" t="s">
        <v>40</v>
      </c>
      <c r="B44" s="118" t="s">
        <v>28</v>
      </c>
      <c r="C44" s="4"/>
      <c r="D44" s="294"/>
      <c r="E44" s="125"/>
    </row>
    <row r="45" spans="1:5" s="3" customFormat="1" ht="16.5" customHeight="1" x14ac:dyDescent="0.2">
      <c r="A45" s="118" t="s">
        <v>41</v>
      </c>
      <c r="B45" s="118" t="s">
        <v>24</v>
      </c>
      <c r="C45" s="4"/>
      <c r="D45" s="294"/>
      <c r="E45" s="125"/>
    </row>
    <row r="46" spans="1:5" s="3" customFormat="1" ht="16.5" customHeight="1" x14ac:dyDescent="0.2">
      <c r="A46" s="118" t="s">
        <v>42</v>
      </c>
      <c r="B46" s="118" t="s">
        <v>25</v>
      </c>
      <c r="C46" s="4">
        <v>400</v>
      </c>
      <c r="D46" s="294">
        <v>400</v>
      </c>
      <c r="E46" s="125"/>
    </row>
    <row r="47" spans="1:5" s="3" customFormat="1" ht="16.5" customHeight="1" x14ac:dyDescent="0.2">
      <c r="A47" s="118" t="s">
        <v>43</v>
      </c>
      <c r="B47" s="118" t="s">
        <v>26</v>
      </c>
      <c r="C47" s="4"/>
      <c r="D47" s="294"/>
      <c r="E47" s="125"/>
    </row>
    <row r="48" spans="1:5" s="3" customFormat="1" ht="16.5" customHeight="1" x14ac:dyDescent="0.2">
      <c r="A48" s="118" t="s">
        <v>44</v>
      </c>
      <c r="B48" s="118" t="s">
        <v>414</v>
      </c>
      <c r="C48" s="113">
        <f>SUM(C49:C51)</f>
        <v>93994</v>
      </c>
      <c r="D48" s="113">
        <f>SUM(D49:D51)</f>
        <v>50585</v>
      </c>
      <c r="E48" s="125"/>
    </row>
    <row r="49" spans="1:6" s="3" customFormat="1" ht="16.5" customHeight="1" x14ac:dyDescent="0.2">
      <c r="A49" s="127" t="s">
        <v>375</v>
      </c>
      <c r="B49" s="127" t="s">
        <v>378</v>
      </c>
      <c r="C49" s="4">
        <v>87994</v>
      </c>
      <c r="D49" s="294">
        <v>48585</v>
      </c>
      <c r="E49" s="125"/>
    </row>
    <row r="50" spans="1:6" s="3" customFormat="1" ht="16.5" customHeight="1" x14ac:dyDescent="0.2">
      <c r="A50" s="127" t="s">
        <v>376</v>
      </c>
      <c r="B50" s="127" t="s">
        <v>377</v>
      </c>
      <c r="C50" s="4"/>
      <c r="D50" s="294"/>
      <c r="E50" s="125"/>
    </row>
    <row r="51" spans="1:6" s="3" customFormat="1" ht="16.5" customHeight="1" x14ac:dyDescent="0.2">
      <c r="A51" s="127" t="s">
        <v>379</v>
      </c>
      <c r="B51" s="127" t="s">
        <v>380</v>
      </c>
      <c r="C51" s="4">
        <v>6000</v>
      </c>
      <c r="D51" s="294">
        <v>2000</v>
      </c>
      <c r="E51" s="125"/>
    </row>
    <row r="52" spans="1:6" s="3" customFormat="1" x14ac:dyDescent="0.2">
      <c r="A52" s="118" t="s">
        <v>45</v>
      </c>
      <c r="B52" s="118" t="s">
        <v>29</v>
      </c>
      <c r="C52" s="4"/>
      <c r="D52" s="294"/>
      <c r="E52" s="125"/>
    </row>
    <row r="53" spans="1:6" s="3" customFormat="1" ht="16.5" customHeight="1" x14ac:dyDescent="0.2">
      <c r="A53" s="118" t="s">
        <v>46</v>
      </c>
      <c r="B53" s="118" t="s">
        <v>6</v>
      </c>
      <c r="C53" s="4">
        <v>150054</v>
      </c>
      <c r="D53" s="294">
        <v>93153</v>
      </c>
      <c r="E53" s="295"/>
      <c r="F53" s="296"/>
    </row>
    <row r="54" spans="1:6" s="3" customFormat="1" ht="30" x14ac:dyDescent="0.2">
      <c r="A54" s="117">
        <v>1.3</v>
      </c>
      <c r="B54" s="117" t="s">
        <v>419</v>
      </c>
      <c r="C54" s="114">
        <f>SUM(C55:C56)</f>
        <v>0</v>
      </c>
      <c r="D54" s="114">
        <f>SUM(D55:D56)</f>
        <v>0</v>
      </c>
      <c r="E54" s="295"/>
      <c r="F54" s="296"/>
    </row>
    <row r="55" spans="1:6" s="3" customFormat="1" ht="30" x14ac:dyDescent="0.2">
      <c r="A55" s="118" t="s">
        <v>50</v>
      </c>
      <c r="B55" s="118" t="s">
        <v>48</v>
      </c>
      <c r="C55" s="4"/>
      <c r="D55" s="294"/>
      <c r="E55" s="295"/>
      <c r="F55" s="296"/>
    </row>
    <row r="56" spans="1:6" s="3" customFormat="1" ht="16.5" customHeight="1" x14ac:dyDescent="0.2">
      <c r="A56" s="118" t="s">
        <v>51</v>
      </c>
      <c r="B56" s="118" t="s">
        <v>47</v>
      </c>
      <c r="C56" s="4"/>
      <c r="D56" s="294"/>
      <c r="E56" s="295"/>
      <c r="F56" s="296"/>
    </row>
    <row r="57" spans="1:6" s="3" customFormat="1" x14ac:dyDescent="0.2">
      <c r="A57" s="117">
        <v>1.4</v>
      </c>
      <c r="B57" s="117" t="s">
        <v>421</v>
      </c>
      <c r="C57" s="4"/>
      <c r="D57" s="294"/>
      <c r="E57" s="295"/>
      <c r="F57" s="296"/>
    </row>
    <row r="58" spans="1:6" s="299" customFormat="1" x14ac:dyDescent="0.2">
      <c r="A58" s="117">
        <v>1.5</v>
      </c>
      <c r="B58" s="117" t="s">
        <v>7</v>
      </c>
      <c r="C58" s="297"/>
      <c r="D58" s="40"/>
      <c r="E58" s="298"/>
    </row>
    <row r="59" spans="1:6" s="299" customFormat="1" x14ac:dyDescent="0.3">
      <c r="A59" s="117">
        <v>1.6</v>
      </c>
      <c r="B59" s="45" t="s">
        <v>8</v>
      </c>
      <c r="C59" s="115">
        <f>SUM(C60:C64)</f>
        <v>11943.1</v>
      </c>
      <c r="D59" s="116">
        <f>SUM(D60:D64)</f>
        <v>11943.1</v>
      </c>
      <c r="E59" s="298"/>
    </row>
    <row r="60" spans="1:6" s="299" customFormat="1" x14ac:dyDescent="0.2">
      <c r="A60" s="118" t="s">
        <v>303</v>
      </c>
      <c r="B60" s="46" t="s">
        <v>52</v>
      </c>
      <c r="C60" s="297">
        <v>11943.1</v>
      </c>
      <c r="D60" s="40">
        <v>11943.1</v>
      </c>
      <c r="E60" s="298"/>
    </row>
    <row r="61" spans="1:6" s="299" customFormat="1" ht="30" x14ac:dyDescent="0.2">
      <c r="A61" s="118" t="s">
        <v>304</v>
      </c>
      <c r="B61" s="46" t="s">
        <v>54</v>
      </c>
      <c r="C61" s="297"/>
      <c r="D61" s="40"/>
      <c r="E61" s="298"/>
    </row>
    <row r="62" spans="1:6" s="299" customFormat="1" x14ac:dyDescent="0.2">
      <c r="A62" s="118" t="s">
        <v>305</v>
      </c>
      <c r="B62" s="46" t="s">
        <v>53</v>
      </c>
      <c r="C62" s="40"/>
      <c r="D62" s="40"/>
      <c r="E62" s="298"/>
    </row>
    <row r="63" spans="1:6" s="299" customFormat="1" x14ac:dyDescent="0.2">
      <c r="A63" s="118" t="s">
        <v>306</v>
      </c>
      <c r="B63" s="46" t="s">
        <v>27</v>
      </c>
      <c r="C63" s="297"/>
      <c r="D63" s="40"/>
      <c r="E63" s="298"/>
    </row>
    <row r="64" spans="1:6" s="299" customFormat="1" x14ac:dyDescent="0.2">
      <c r="A64" s="118" t="s">
        <v>342</v>
      </c>
      <c r="B64" s="46" t="s">
        <v>343</v>
      </c>
      <c r="C64" s="297"/>
      <c r="D64" s="40"/>
      <c r="E64" s="298"/>
    </row>
    <row r="65" spans="1:5" x14ac:dyDescent="0.3">
      <c r="A65" s="292">
        <v>2</v>
      </c>
      <c r="B65" s="292" t="s">
        <v>415</v>
      </c>
      <c r="C65" s="301"/>
      <c r="D65" s="115">
        <f>SUM(D66:D72)</f>
        <v>4258.46</v>
      </c>
      <c r="E65" s="126"/>
    </row>
    <row r="66" spans="1:5" x14ac:dyDescent="0.3">
      <c r="A66" s="128">
        <v>2.1</v>
      </c>
      <c r="B66" s="302" t="s">
        <v>100</v>
      </c>
      <c r="C66" s="303"/>
      <c r="D66" s="22"/>
      <c r="E66" s="126"/>
    </row>
    <row r="67" spans="1:5" x14ac:dyDescent="0.3">
      <c r="A67" s="128">
        <v>2.2000000000000002</v>
      </c>
      <c r="B67" s="302" t="s">
        <v>416</v>
      </c>
      <c r="C67" s="303"/>
      <c r="D67" s="22"/>
      <c r="E67" s="126"/>
    </row>
    <row r="68" spans="1:5" x14ac:dyDescent="0.3">
      <c r="A68" s="128">
        <v>2.2999999999999998</v>
      </c>
      <c r="B68" s="302" t="s">
        <v>104</v>
      </c>
      <c r="C68" s="303"/>
      <c r="D68" s="22"/>
      <c r="E68" s="126"/>
    </row>
    <row r="69" spans="1:5" x14ac:dyDescent="0.3">
      <c r="A69" s="128">
        <v>2.4</v>
      </c>
      <c r="B69" s="302" t="s">
        <v>103</v>
      </c>
      <c r="C69" s="303"/>
      <c r="D69" s="22"/>
      <c r="E69" s="126"/>
    </row>
    <row r="70" spans="1:5" x14ac:dyDescent="0.3">
      <c r="A70" s="128">
        <v>2.5</v>
      </c>
      <c r="B70" s="302" t="s">
        <v>417</v>
      </c>
      <c r="C70" s="303"/>
      <c r="D70" s="22"/>
      <c r="E70" s="126"/>
    </row>
    <row r="71" spans="1:5" x14ac:dyDescent="0.3">
      <c r="A71" s="128">
        <v>2.6</v>
      </c>
      <c r="B71" s="302" t="s">
        <v>101</v>
      </c>
      <c r="C71" s="303"/>
      <c r="D71" s="22">
        <v>4258.46</v>
      </c>
      <c r="E71" s="126"/>
    </row>
    <row r="72" spans="1:5" x14ac:dyDescent="0.3">
      <c r="A72" s="128">
        <v>2.7</v>
      </c>
      <c r="B72" s="302" t="s">
        <v>102</v>
      </c>
      <c r="C72" s="304"/>
      <c r="D72" s="22"/>
      <c r="E72" s="126"/>
    </row>
    <row r="73" spans="1:5" x14ac:dyDescent="0.3">
      <c r="A73" s="292">
        <v>3</v>
      </c>
      <c r="B73" s="292" t="s">
        <v>453</v>
      </c>
      <c r="C73" s="115"/>
      <c r="D73" s="22"/>
      <c r="E73" s="126"/>
    </row>
    <row r="74" spans="1:5" ht="18" x14ac:dyDescent="0.35">
      <c r="A74" s="292">
        <v>4</v>
      </c>
      <c r="B74" s="292" t="s">
        <v>255</v>
      </c>
      <c r="C74" s="115"/>
      <c r="D74" s="492">
        <f>SUM(D75:D76)</f>
        <v>76146.63</v>
      </c>
      <c r="E74" s="126"/>
    </row>
    <row r="75" spans="1:5" x14ac:dyDescent="0.3">
      <c r="A75" s="128">
        <v>4.0999999999999996</v>
      </c>
      <c r="B75" s="128" t="s">
        <v>256</v>
      </c>
      <c r="C75" s="303"/>
      <c r="D75" s="8">
        <v>76146.63</v>
      </c>
      <c r="E75" s="126"/>
    </row>
    <row r="76" spans="1:5" x14ac:dyDescent="0.3">
      <c r="A76" s="128">
        <v>4.2</v>
      </c>
      <c r="B76" s="128" t="s">
        <v>257</v>
      </c>
      <c r="C76" s="304"/>
      <c r="D76" s="8"/>
      <c r="E76" s="126"/>
    </row>
    <row r="77" spans="1:5" x14ac:dyDescent="0.3">
      <c r="A77" s="292">
        <v>5</v>
      </c>
      <c r="B77" s="292" t="s">
        <v>285</v>
      </c>
      <c r="C77" s="331"/>
      <c r="D77" s="304"/>
      <c r="E77" s="126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96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96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91" t="s">
        <v>140</v>
      </c>
    </row>
    <row r="88" spans="1:9" s="23" customFormat="1" ht="12.75" x14ac:dyDescent="0.2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zoomScale="70" zoomScaleSheetLayoutView="70" workbookViewId="0">
      <selection activeCell="H44" sqref="H44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4" t="s">
        <v>332</v>
      </c>
      <c r="B1" s="107"/>
      <c r="C1" s="535" t="s">
        <v>110</v>
      </c>
      <c r="D1" s="535"/>
      <c r="E1" s="121"/>
    </row>
    <row r="2" spans="1:5" s="6" customFormat="1" x14ac:dyDescent="0.3">
      <c r="A2" s="104" t="s">
        <v>333</v>
      </c>
      <c r="B2" s="107"/>
      <c r="C2" s="533" t="s">
        <v>618</v>
      </c>
      <c r="D2" s="534"/>
      <c r="E2" s="121"/>
    </row>
    <row r="3" spans="1:5" s="6" customFormat="1" x14ac:dyDescent="0.3">
      <c r="A3" s="106" t="s">
        <v>141</v>
      </c>
      <c r="B3" s="104"/>
      <c r="C3" s="216"/>
      <c r="D3" s="216"/>
      <c r="E3" s="121"/>
    </row>
    <row r="4" spans="1:5" s="6" customFormat="1" x14ac:dyDescent="0.3">
      <c r="A4" s="106"/>
      <c r="B4" s="106"/>
      <c r="C4" s="216"/>
      <c r="D4" s="216"/>
      <c r="E4" s="121"/>
    </row>
    <row r="5" spans="1:5" x14ac:dyDescent="0.3">
      <c r="A5" s="107" t="str">
        <f>'ფორმა N2'!A4</f>
        <v>ანგარიშვალდებული პირის დასახელება:</v>
      </c>
      <c r="B5" s="107"/>
      <c r="C5" s="106"/>
      <c r="D5" s="106"/>
      <c r="E5" s="122"/>
    </row>
    <row r="6" spans="1:5" x14ac:dyDescent="0.3">
      <c r="A6" s="272" t="s">
        <v>520</v>
      </c>
      <c r="B6" s="110"/>
      <c r="C6" s="110"/>
      <c r="D6" s="111"/>
      <c r="E6" s="122"/>
    </row>
    <row r="7" spans="1:5" x14ac:dyDescent="0.3">
      <c r="A7" s="107"/>
      <c r="B7" s="107"/>
      <c r="C7" s="106"/>
      <c r="D7" s="106"/>
      <c r="E7" s="122"/>
    </row>
    <row r="8" spans="1:5" s="6" customFormat="1" x14ac:dyDescent="0.3">
      <c r="A8" s="215"/>
      <c r="B8" s="215"/>
      <c r="C8" s="108"/>
      <c r="D8" s="108"/>
      <c r="E8" s="121"/>
    </row>
    <row r="9" spans="1:5" s="6" customFormat="1" ht="30" x14ac:dyDescent="0.3">
      <c r="A9" s="119" t="s">
        <v>64</v>
      </c>
      <c r="B9" s="119" t="s">
        <v>338</v>
      </c>
      <c r="C9" s="109" t="s">
        <v>10</v>
      </c>
      <c r="D9" s="109" t="s">
        <v>9</v>
      </c>
      <c r="E9" s="121"/>
    </row>
    <row r="10" spans="1:5" s="9" customFormat="1" ht="18" x14ac:dyDescent="0.2">
      <c r="A10" s="128" t="s">
        <v>334</v>
      </c>
      <c r="B10" s="128"/>
      <c r="C10" s="4"/>
      <c r="D10" s="4"/>
      <c r="E10" s="123"/>
    </row>
    <row r="11" spans="1:5" s="10" customFormat="1" x14ac:dyDescent="0.2">
      <c r="A11" s="128" t="s">
        <v>335</v>
      </c>
      <c r="B11" s="128"/>
      <c r="C11" s="4"/>
      <c r="D11" s="4"/>
      <c r="E11" s="124"/>
    </row>
    <row r="12" spans="1:5" s="10" customFormat="1" x14ac:dyDescent="0.2">
      <c r="A12" s="117" t="s">
        <v>284</v>
      </c>
      <c r="B12" s="117"/>
      <c r="C12" s="4"/>
      <c r="D12" s="4"/>
      <c r="E12" s="124"/>
    </row>
    <row r="13" spans="1:5" s="10" customFormat="1" x14ac:dyDescent="0.2">
      <c r="A13" s="117" t="s">
        <v>284</v>
      </c>
      <c r="B13" s="117"/>
      <c r="C13" s="4"/>
      <c r="D13" s="4"/>
      <c r="E13" s="124"/>
    </row>
    <row r="14" spans="1:5" s="10" customFormat="1" x14ac:dyDescent="0.2">
      <c r="A14" s="117" t="s">
        <v>284</v>
      </c>
      <c r="B14" s="117"/>
      <c r="C14" s="4"/>
      <c r="D14" s="4"/>
      <c r="E14" s="124"/>
    </row>
    <row r="15" spans="1:5" s="10" customFormat="1" x14ac:dyDescent="0.2">
      <c r="A15" s="117" t="s">
        <v>284</v>
      </c>
      <c r="B15" s="117"/>
      <c r="C15" s="4"/>
      <c r="D15" s="4"/>
      <c r="E15" s="124"/>
    </row>
    <row r="16" spans="1:5" s="10" customFormat="1" x14ac:dyDescent="0.2">
      <c r="A16" s="117" t="s">
        <v>284</v>
      </c>
      <c r="B16" s="117"/>
      <c r="C16" s="4"/>
      <c r="D16" s="4"/>
      <c r="E16" s="124"/>
    </row>
    <row r="17" spans="1:5" s="10" customFormat="1" ht="17.25" customHeight="1" x14ac:dyDescent="0.2">
      <c r="A17" s="128" t="s">
        <v>336</v>
      </c>
      <c r="B17" s="117"/>
      <c r="C17" s="4"/>
      <c r="D17" s="4"/>
      <c r="E17" s="124"/>
    </row>
    <row r="18" spans="1:5" s="10" customFormat="1" ht="18" customHeight="1" x14ac:dyDescent="0.2">
      <c r="A18" s="128" t="s">
        <v>337</v>
      </c>
      <c r="B18" s="117"/>
      <c r="C18" s="4"/>
      <c r="D18" s="4"/>
      <c r="E18" s="124"/>
    </row>
    <row r="19" spans="1:5" s="10" customFormat="1" x14ac:dyDescent="0.2">
      <c r="A19" s="502">
        <v>1</v>
      </c>
      <c r="B19" s="117" t="s">
        <v>935</v>
      </c>
      <c r="C19" s="4">
        <v>26942</v>
      </c>
      <c r="D19" s="4">
        <v>26533</v>
      </c>
      <c r="E19" s="124"/>
    </row>
    <row r="20" spans="1:5" s="10" customFormat="1" x14ac:dyDescent="0.2">
      <c r="A20" s="502">
        <v>2</v>
      </c>
      <c r="B20" s="117" t="s">
        <v>936</v>
      </c>
      <c r="C20" s="4">
        <v>32935</v>
      </c>
      <c r="D20" s="4">
        <v>25080</v>
      </c>
      <c r="E20" s="124"/>
    </row>
    <row r="21" spans="1:5" s="10" customFormat="1" x14ac:dyDescent="0.2">
      <c r="A21" s="502">
        <v>3</v>
      </c>
      <c r="B21" s="117" t="s">
        <v>937</v>
      </c>
      <c r="C21" s="4">
        <v>67549</v>
      </c>
      <c r="D21" s="4">
        <v>18912</v>
      </c>
      <c r="E21" s="124"/>
    </row>
    <row r="22" spans="1:5" s="10" customFormat="1" x14ac:dyDescent="0.2">
      <c r="A22" s="502">
        <v>4</v>
      </c>
      <c r="B22" s="117" t="s">
        <v>938</v>
      </c>
      <c r="C22" s="4">
        <v>8645</v>
      </c>
      <c r="D22" s="4">
        <v>8645</v>
      </c>
      <c r="E22" s="124"/>
    </row>
    <row r="23" spans="1:5" s="10" customFormat="1" x14ac:dyDescent="0.2">
      <c r="A23" s="495"/>
      <c r="B23" s="117"/>
      <c r="C23" s="495"/>
      <c r="D23" s="450"/>
      <c r="E23" s="124"/>
    </row>
    <row r="24" spans="1:5" x14ac:dyDescent="0.3">
      <c r="A24" s="499">
        <v>5</v>
      </c>
      <c r="B24" s="500" t="s">
        <v>939</v>
      </c>
      <c r="C24" s="499">
        <v>10767.24</v>
      </c>
      <c r="D24" s="499">
        <v>10767.24</v>
      </c>
      <c r="E24" s="126"/>
    </row>
    <row r="25" spans="1:5" x14ac:dyDescent="0.3">
      <c r="A25" s="499">
        <v>6</v>
      </c>
      <c r="B25" s="500" t="s">
        <v>940</v>
      </c>
      <c r="C25" s="499">
        <v>2000</v>
      </c>
      <c r="D25" s="499">
        <v>2000</v>
      </c>
    </row>
    <row r="26" spans="1:5" x14ac:dyDescent="0.3">
      <c r="A26" s="499">
        <v>7</v>
      </c>
      <c r="B26" s="498" t="s">
        <v>941</v>
      </c>
      <c r="C26" s="499">
        <v>856</v>
      </c>
      <c r="D26" s="499">
        <v>856</v>
      </c>
      <c r="E26" s="5"/>
    </row>
    <row r="27" spans="1:5" x14ac:dyDescent="0.3">
      <c r="A27" s="499">
        <v>8</v>
      </c>
      <c r="B27" s="498" t="s">
        <v>942</v>
      </c>
      <c r="C27" s="499">
        <v>360</v>
      </c>
      <c r="D27" s="499">
        <v>360</v>
      </c>
    </row>
    <row r="28" spans="1:5" x14ac:dyDescent="0.3">
      <c r="A28" s="8"/>
      <c r="B28" s="497"/>
      <c r="C28" s="8"/>
      <c r="D28" s="8"/>
    </row>
    <row r="29" spans="1:5" x14ac:dyDescent="0.3">
      <c r="A29" s="8"/>
      <c r="B29" s="497"/>
      <c r="C29" s="8"/>
      <c r="D29" s="8"/>
    </row>
    <row r="30" spans="1:5" x14ac:dyDescent="0.3">
      <c r="A30" s="8"/>
      <c r="B30" s="496"/>
      <c r="C30" s="8"/>
      <c r="D30" s="8"/>
    </row>
    <row r="31" spans="1:5" s="23" customFormat="1" x14ac:dyDescent="0.3">
      <c r="A31" s="129"/>
      <c r="B31" s="129" t="s">
        <v>341</v>
      </c>
      <c r="C31" s="501">
        <f>SUM(C19:C30)</f>
        <v>150054.24</v>
      </c>
      <c r="D31" s="501">
        <f>SUM(D10:D30)</f>
        <v>93153.24</v>
      </c>
    </row>
    <row r="32" spans="1:5" x14ac:dyDescent="0.3">
      <c r="E32" s="5"/>
    </row>
    <row r="33" spans="1:9" x14ac:dyDescent="0.3">
      <c r="A33" s="313" t="s">
        <v>444</v>
      </c>
      <c r="E33"/>
      <c r="F33"/>
      <c r="G33"/>
      <c r="H33"/>
      <c r="I33"/>
    </row>
    <row r="34" spans="1:9" x14ac:dyDescent="0.3">
      <c r="A34" s="2" t="s">
        <v>445</v>
      </c>
      <c r="E34"/>
      <c r="F34"/>
      <c r="G34"/>
      <c r="H34"/>
      <c r="I34"/>
    </row>
    <row r="35" spans="1:9" x14ac:dyDescent="0.3">
      <c r="A35" s="493" t="s">
        <v>284</v>
      </c>
      <c r="B35" s="493"/>
      <c r="C35" s="494"/>
      <c r="D35" s="494"/>
      <c r="E35"/>
      <c r="F35"/>
      <c r="G35"/>
      <c r="H35"/>
      <c r="I35"/>
    </row>
    <row r="36" spans="1:9" x14ac:dyDescent="0.3">
      <c r="A36" s="265"/>
      <c r="E36"/>
      <c r="F36"/>
      <c r="G36"/>
      <c r="H36"/>
      <c r="I36"/>
    </row>
    <row r="37" spans="1:9" customFormat="1" x14ac:dyDescent="0.3">
      <c r="A37" s="265" t="s">
        <v>355</v>
      </c>
      <c r="B37" s="2"/>
      <c r="C37" s="2"/>
      <c r="D37" s="2"/>
    </row>
    <row r="38" spans="1:9" s="23" customFormat="1" ht="12.75" x14ac:dyDescent="0.2"/>
    <row r="39" spans="1:9" x14ac:dyDescent="0.3">
      <c r="A39" s="96" t="s">
        <v>107</v>
      </c>
    </row>
    <row r="41" spans="1:9" x14ac:dyDescent="0.3">
      <c r="D41" s="12"/>
    </row>
    <row r="42" spans="1:9" x14ac:dyDescent="0.3">
      <c r="A42" s="96"/>
      <c r="B42" s="96" t="s">
        <v>274</v>
      </c>
      <c r="D42" s="12"/>
    </row>
    <row r="43" spans="1:9" x14ac:dyDescent="0.3">
      <c r="B43" s="2" t="s">
        <v>273</v>
      </c>
      <c r="D43" s="12"/>
    </row>
    <row r="44" spans="1:9" x14ac:dyDescent="0.3">
      <c r="A44" s="91"/>
      <c r="B44" s="91" t="s">
        <v>140</v>
      </c>
      <c r="C44"/>
      <c r="D44"/>
    </row>
    <row r="45" spans="1:9" x14ac:dyDescent="0.3">
      <c r="A45" s="23"/>
      <c r="B45" s="23"/>
      <c r="C45" s="23"/>
      <c r="D45" s="23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.42578125" style="234" customWidth="1"/>
    <col min="2" max="2" width="20.85546875" style="234" customWidth="1"/>
    <col min="3" max="3" width="26" style="234" customWidth="1"/>
    <col min="4" max="4" width="17" style="234" customWidth="1"/>
    <col min="5" max="5" width="18.140625" style="234" customWidth="1"/>
    <col min="6" max="6" width="14.7109375" style="234" customWidth="1"/>
    <col min="7" max="7" width="15.5703125" style="234" customWidth="1"/>
    <col min="8" max="8" width="14.7109375" style="234" customWidth="1"/>
    <col min="9" max="9" width="29.7109375" style="234" customWidth="1"/>
    <col min="10" max="10" width="0" style="234" hidden="1" customWidth="1"/>
    <col min="11" max="16384" width="9.140625" style="234"/>
  </cols>
  <sheetData>
    <row r="1" spans="1:10" ht="15" x14ac:dyDescent="0.3">
      <c r="A1" s="104" t="s">
        <v>418</v>
      </c>
      <c r="B1" s="104"/>
      <c r="C1" s="107"/>
      <c r="D1" s="107"/>
      <c r="E1" s="107"/>
      <c r="F1" s="107"/>
      <c r="G1" s="277"/>
      <c r="H1" s="277"/>
      <c r="I1" s="535" t="s">
        <v>110</v>
      </c>
      <c r="J1" s="535"/>
    </row>
    <row r="2" spans="1:10" ht="15" x14ac:dyDescent="0.3">
      <c r="A2" s="106" t="s">
        <v>141</v>
      </c>
      <c r="B2" s="104"/>
      <c r="C2" s="107"/>
      <c r="D2" s="107"/>
      <c r="E2" s="107"/>
      <c r="F2" s="107"/>
      <c r="G2" s="277"/>
      <c r="H2" s="277"/>
      <c r="I2" s="533" t="s">
        <v>618</v>
      </c>
      <c r="J2" s="534"/>
    </row>
    <row r="3" spans="1:10" ht="15" x14ac:dyDescent="0.3">
      <c r="A3" s="106"/>
      <c r="B3" s="106"/>
      <c r="C3" s="104"/>
      <c r="D3" s="104"/>
      <c r="E3" s="104"/>
      <c r="F3" s="104"/>
      <c r="G3" s="218"/>
      <c r="H3" s="218"/>
      <c r="I3" s="277"/>
    </row>
    <row r="4" spans="1:10" ht="15" x14ac:dyDescent="0.3">
      <c r="A4" s="107" t="str">
        <f>'ფორმა N2'!A4</f>
        <v>ანგარიშვალდებული პირის დასახელება:</v>
      </c>
      <c r="B4" s="107"/>
      <c r="C4" s="107"/>
      <c r="D4" s="107"/>
      <c r="E4" s="107"/>
      <c r="F4" s="107"/>
      <c r="G4" s="106"/>
      <c r="H4" s="106"/>
      <c r="I4" s="106"/>
    </row>
    <row r="5" spans="1:10" ht="15" x14ac:dyDescent="0.3">
      <c r="A5" s="272" t="s">
        <v>520</v>
      </c>
      <c r="B5" s="110"/>
      <c r="C5" s="110"/>
      <c r="D5" s="110"/>
      <c r="E5" s="110"/>
      <c r="F5" s="110"/>
      <c r="G5" s="106"/>
      <c r="H5" s="111"/>
      <c r="I5" s="111"/>
    </row>
    <row r="6" spans="1:10" ht="15" x14ac:dyDescent="0.3">
      <c r="A6" s="107"/>
      <c r="B6" s="107"/>
      <c r="C6" s="107"/>
      <c r="D6" s="107"/>
      <c r="E6" s="107"/>
      <c r="F6" s="107"/>
      <c r="G6" s="106"/>
      <c r="H6" s="106"/>
      <c r="I6" s="106"/>
    </row>
    <row r="7" spans="1:10" ht="15" x14ac:dyDescent="0.2">
      <c r="A7" s="217"/>
      <c r="B7" s="217"/>
      <c r="C7" s="217"/>
      <c r="D7" s="271"/>
      <c r="E7" s="217"/>
      <c r="F7" s="217"/>
      <c r="G7" s="108"/>
      <c r="H7" s="108"/>
      <c r="I7" s="108"/>
    </row>
    <row r="8" spans="1:10" ht="45" x14ac:dyDescent="0.2">
      <c r="A8" s="120" t="s">
        <v>64</v>
      </c>
      <c r="B8" s="120" t="s">
        <v>344</v>
      </c>
      <c r="C8" s="120" t="s">
        <v>345</v>
      </c>
      <c r="D8" s="120" t="s">
        <v>230</v>
      </c>
      <c r="E8" s="120" t="s">
        <v>349</v>
      </c>
      <c r="F8" s="120" t="s">
        <v>353</v>
      </c>
      <c r="G8" s="109" t="s">
        <v>10</v>
      </c>
      <c r="H8" s="109" t="s">
        <v>9</v>
      </c>
      <c r="I8" s="109" t="s">
        <v>400</v>
      </c>
      <c r="J8" s="280" t="s">
        <v>352</v>
      </c>
    </row>
    <row r="9" spans="1:10" ht="15" x14ac:dyDescent="0.2">
      <c r="A9" s="128">
        <v>1</v>
      </c>
      <c r="B9" s="445" t="s">
        <v>695</v>
      </c>
      <c r="C9" s="445" t="s">
        <v>696</v>
      </c>
      <c r="D9" s="444" t="s">
        <v>697</v>
      </c>
      <c r="E9" s="445" t="s">
        <v>716</v>
      </c>
      <c r="F9" s="128" t="s">
        <v>352</v>
      </c>
      <c r="G9" s="4">
        <v>39375</v>
      </c>
      <c r="H9" s="4">
        <v>39375</v>
      </c>
      <c r="I9" s="4">
        <v>7875</v>
      </c>
      <c r="J9" s="280" t="s">
        <v>0</v>
      </c>
    </row>
    <row r="10" spans="1:10" ht="15" x14ac:dyDescent="0.2">
      <c r="A10" s="128">
        <v>2</v>
      </c>
      <c r="B10" s="445" t="s">
        <v>539</v>
      </c>
      <c r="C10" s="445" t="s">
        <v>540</v>
      </c>
      <c r="D10" s="444" t="s">
        <v>541</v>
      </c>
      <c r="E10" s="445" t="s">
        <v>720</v>
      </c>
      <c r="F10" s="128" t="s">
        <v>352</v>
      </c>
      <c r="G10" s="4">
        <v>4950</v>
      </c>
      <c r="H10" s="4">
        <v>4950</v>
      </c>
      <c r="I10" s="4">
        <v>990</v>
      </c>
    </row>
    <row r="11" spans="1:10" ht="15" x14ac:dyDescent="0.2">
      <c r="A11" s="128">
        <v>3</v>
      </c>
      <c r="B11" s="117" t="s">
        <v>698</v>
      </c>
      <c r="C11" s="117" t="s">
        <v>699</v>
      </c>
      <c r="D11" s="444" t="s">
        <v>701</v>
      </c>
      <c r="E11" s="117" t="s">
        <v>717</v>
      </c>
      <c r="F11" s="128" t="s">
        <v>352</v>
      </c>
      <c r="G11" s="4">
        <v>3300</v>
      </c>
      <c r="H11" s="4">
        <v>3300</v>
      </c>
      <c r="I11" s="4">
        <v>660</v>
      </c>
    </row>
    <row r="12" spans="1:10" ht="15" x14ac:dyDescent="0.2">
      <c r="A12" s="128">
        <v>4</v>
      </c>
      <c r="B12" s="117" t="s">
        <v>700</v>
      </c>
      <c r="C12" s="117" t="s">
        <v>537</v>
      </c>
      <c r="D12" s="444" t="s">
        <v>538</v>
      </c>
      <c r="E12" s="117" t="s">
        <v>718</v>
      </c>
      <c r="F12" s="128" t="s">
        <v>352</v>
      </c>
      <c r="G12" s="4">
        <v>5212.5</v>
      </c>
      <c r="H12" s="4">
        <v>5212.5</v>
      </c>
      <c r="I12" s="4" t="s">
        <v>926</v>
      </c>
    </row>
    <row r="13" spans="1:10" ht="15" x14ac:dyDescent="0.2">
      <c r="A13" s="128">
        <v>5</v>
      </c>
      <c r="B13" s="117" t="s">
        <v>702</v>
      </c>
      <c r="C13" s="117" t="s">
        <v>703</v>
      </c>
      <c r="D13" s="444" t="s">
        <v>704</v>
      </c>
      <c r="E13" s="117" t="s">
        <v>719</v>
      </c>
      <c r="F13" s="128" t="s">
        <v>352</v>
      </c>
      <c r="G13" s="4">
        <v>2700</v>
      </c>
      <c r="H13" s="4">
        <v>2700</v>
      </c>
      <c r="I13" s="4">
        <v>540</v>
      </c>
    </row>
    <row r="14" spans="1:10" ht="15" x14ac:dyDescent="0.2">
      <c r="A14" s="128">
        <v>6</v>
      </c>
      <c r="B14" s="117" t="s">
        <v>705</v>
      </c>
      <c r="C14" s="117" t="s">
        <v>706</v>
      </c>
      <c r="D14" s="444" t="s">
        <v>707</v>
      </c>
      <c r="E14" s="117" t="s">
        <v>719</v>
      </c>
      <c r="F14" s="128" t="s">
        <v>352</v>
      </c>
      <c r="G14" s="4">
        <v>2700</v>
      </c>
      <c r="H14" s="4">
        <v>2700</v>
      </c>
      <c r="I14" s="4">
        <v>540</v>
      </c>
    </row>
    <row r="15" spans="1:10" ht="15" x14ac:dyDescent="0.2">
      <c r="A15" s="128">
        <v>7</v>
      </c>
      <c r="B15" s="117" t="s">
        <v>708</v>
      </c>
      <c r="C15" s="117" t="s">
        <v>709</v>
      </c>
      <c r="D15" s="444" t="s">
        <v>710</v>
      </c>
      <c r="E15" s="117" t="s">
        <v>719</v>
      </c>
      <c r="F15" s="128" t="s">
        <v>352</v>
      </c>
      <c r="G15" s="4">
        <v>900</v>
      </c>
      <c r="H15" s="4">
        <v>900</v>
      </c>
      <c r="I15" s="4">
        <v>180</v>
      </c>
    </row>
    <row r="16" spans="1:10" ht="15" x14ac:dyDescent="0.2">
      <c r="A16" s="128">
        <v>8</v>
      </c>
      <c r="B16" s="117" t="s">
        <v>539</v>
      </c>
      <c r="C16" s="117" t="s">
        <v>711</v>
      </c>
      <c r="D16" s="444" t="s">
        <v>712</v>
      </c>
      <c r="E16" s="117" t="s">
        <v>719</v>
      </c>
      <c r="F16" s="128" t="s">
        <v>352</v>
      </c>
      <c r="G16" s="4">
        <v>900</v>
      </c>
      <c r="H16" s="4">
        <v>900</v>
      </c>
      <c r="I16" s="4">
        <v>180</v>
      </c>
    </row>
    <row r="17" spans="1:9" ht="15" x14ac:dyDescent="0.2">
      <c r="A17" s="128">
        <v>9</v>
      </c>
      <c r="B17" s="117" t="s">
        <v>713</v>
      </c>
      <c r="C17" s="117" t="s">
        <v>714</v>
      </c>
      <c r="D17" s="444" t="s">
        <v>715</v>
      </c>
      <c r="E17" s="117" t="s">
        <v>719</v>
      </c>
      <c r="F17" s="128" t="s">
        <v>352</v>
      </c>
      <c r="G17" s="4">
        <v>2100</v>
      </c>
      <c r="H17" s="4">
        <v>2100</v>
      </c>
      <c r="I17" s="4">
        <v>420</v>
      </c>
    </row>
    <row r="18" spans="1:9" ht="15" x14ac:dyDescent="0.2">
      <c r="A18" s="128">
        <v>10</v>
      </c>
      <c r="B18" s="117"/>
      <c r="C18" s="117"/>
      <c r="D18" s="117"/>
      <c r="E18" s="117"/>
      <c r="F18" s="128"/>
      <c r="G18" s="4"/>
      <c r="H18" s="4"/>
      <c r="I18" s="4"/>
    </row>
    <row r="19" spans="1:9" ht="15" x14ac:dyDescent="0.2">
      <c r="A19" s="128">
        <v>11</v>
      </c>
      <c r="B19" s="117"/>
      <c r="C19" s="117"/>
      <c r="D19" s="117"/>
      <c r="E19" s="117"/>
      <c r="F19" s="128"/>
      <c r="G19" s="4"/>
      <c r="H19" s="4"/>
      <c r="I19" s="4"/>
    </row>
    <row r="20" spans="1:9" ht="15" x14ac:dyDescent="0.2">
      <c r="A20" s="128">
        <v>12</v>
      </c>
      <c r="B20" s="117"/>
      <c r="C20" s="117"/>
      <c r="D20" s="117"/>
      <c r="E20" s="117"/>
      <c r="F20" s="128"/>
      <c r="G20" s="4"/>
      <c r="H20" s="4"/>
      <c r="I20" s="4"/>
    </row>
    <row r="21" spans="1:9" ht="15" x14ac:dyDescent="0.2">
      <c r="A21" s="128">
        <v>13</v>
      </c>
      <c r="B21" s="117"/>
      <c r="C21" s="117"/>
      <c r="D21" s="117"/>
      <c r="E21" s="117"/>
      <c r="F21" s="128"/>
      <c r="G21" s="4"/>
      <c r="H21" s="4"/>
      <c r="I21" s="4"/>
    </row>
    <row r="22" spans="1:9" ht="15" x14ac:dyDescent="0.2">
      <c r="A22" s="128">
        <v>14</v>
      </c>
      <c r="B22" s="117"/>
      <c r="C22" s="117"/>
      <c r="D22" s="117"/>
      <c r="E22" s="117"/>
      <c r="F22" s="128"/>
      <c r="G22" s="4"/>
      <c r="H22" s="4"/>
      <c r="I22" s="4"/>
    </row>
    <row r="23" spans="1:9" ht="15" x14ac:dyDescent="0.2">
      <c r="A23" s="128">
        <v>15</v>
      </c>
      <c r="B23" s="117"/>
      <c r="C23" s="117"/>
      <c r="D23" s="117"/>
      <c r="E23" s="117"/>
      <c r="F23" s="128"/>
      <c r="G23" s="4"/>
      <c r="H23" s="4"/>
      <c r="I23" s="4"/>
    </row>
    <row r="24" spans="1:9" ht="15" x14ac:dyDescent="0.2">
      <c r="A24" s="128">
        <v>16</v>
      </c>
      <c r="B24" s="117"/>
      <c r="C24" s="117"/>
      <c r="D24" s="117"/>
      <c r="E24" s="117"/>
      <c r="F24" s="128"/>
      <c r="G24" s="4"/>
      <c r="H24" s="4"/>
      <c r="I24" s="4"/>
    </row>
    <row r="25" spans="1:9" ht="15" x14ac:dyDescent="0.2">
      <c r="A25" s="128">
        <v>17</v>
      </c>
      <c r="B25" s="117"/>
      <c r="C25" s="117"/>
      <c r="D25" s="117"/>
      <c r="E25" s="117"/>
      <c r="F25" s="128"/>
      <c r="G25" s="4"/>
      <c r="H25" s="4"/>
      <c r="I25" s="4"/>
    </row>
    <row r="26" spans="1:9" ht="15" x14ac:dyDescent="0.2">
      <c r="A26" s="128">
        <v>18</v>
      </c>
      <c r="B26" s="117"/>
      <c r="C26" s="117"/>
      <c r="D26" s="117"/>
      <c r="E26" s="117"/>
      <c r="F26" s="128"/>
      <c r="G26" s="4"/>
      <c r="H26" s="4"/>
      <c r="I26" s="4"/>
    </row>
    <row r="27" spans="1:9" ht="15" x14ac:dyDescent="0.2">
      <c r="A27" s="128">
        <v>19</v>
      </c>
      <c r="B27" s="117"/>
      <c r="C27" s="117"/>
      <c r="D27" s="117"/>
      <c r="E27" s="117"/>
      <c r="F27" s="128"/>
      <c r="G27" s="4"/>
      <c r="H27" s="4"/>
      <c r="I27" s="4"/>
    </row>
    <row r="28" spans="1:9" ht="15" x14ac:dyDescent="0.2">
      <c r="A28" s="128">
        <v>20</v>
      </c>
      <c r="B28" s="117"/>
      <c r="C28" s="117"/>
      <c r="D28" s="117"/>
      <c r="E28" s="117"/>
      <c r="F28" s="128"/>
      <c r="G28" s="4"/>
      <c r="H28" s="4"/>
      <c r="I28" s="4"/>
    </row>
    <row r="29" spans="1:9" ht="15" x14ac:dyDescent="0.2">
      <c r="A29" s="128">
        <v>21</v>
      </c>
      <c r="B29" s="117"/>
      <c r="C29" s="117"/>
      <c r="D29" s="117"/>
      <c r="E29" s="117"/>
      <c r="F29" s="128"/>
      <c r="G29" s="4"/>
      <c r="H29" s="4"/>
      <c r="I29" s="4"/>
    </row>
    <row r="30" spans="1:9" ht="15" x14ac:dyDescent="0.2">
      <c r="A30" s="128">
        <v>22</v>
      </c>
      <c r="B30" s="117"/>
      <c r="C30" s="117"/>
      <c r="D30" s="117"/>
      <c r="E30" s="117"/>
      <c r="F30" s="128"/>
      <c r="G30" s="4"/>
      <c r="H30" s="4"/>
      <c r="I30" s="4"/>
    </row>
    <row r="31" spans="1:9" ht="15" x14ac:dyDescent="0.2">
      <c r="A31" s="128">
        <v>23</v>
      </c>
      <c r="B31" s="117"/>
      <c r="C31" s="117"/>
      <c r="D31" s="117"/>
      <c r="E31" s="117"/>
      <c r="F31" s="128"/>
      <c r="G31" s="4"/>
      <c r="H31" s="4"/>
      <c r="I31" s="4"/>
    </row>
    <row r="32" spans="1:9" ht="15" x14ac:dyDescent="0.2">
      <c r="A32" s="128">
        <v>24</v>
      </c>
      <c r="B32" s="117"/>
      <c r="C32" s="117"/>
      <c r="D32" s="117"/>
      <c r="E32" s="117"/>
      <c r="F32" s="128"/>
      <c r="G32" s="4"/>
      <c r="H32" s="4"/>
      <c r="I32" s="4"/>
    </row>
    <row r="33" spans="1:9" ht="15" x14ac:dyDescent="0.2">
      <c r="A33" s="117" t="s">
        <v>281</v>
      </c>
      <c r="B33" s="117"/>
      <c r="C33" s="117"/>
      <c r="D33" s="117"/>
      <c r="E33" s="117"/>
      <c r="F33" s="128"/>
      <c r="G33" s="4"/>
      <c r="H33" s="4"/>
      <c r="I33" s="4"/>
    </row>
    <row r="34" spans="1:9" ht="15" x14ac:dyDescent="0.3">
      <c r="A34" s="117"/>
      <c r="B34" s="129"/>
      <c r="C34" s="129"/>
      <c r="D34" s="129"/>
      <c r="E34" s="129"/>
      <c r="F34" s="117" t="s">
        <v>459</v>
      </c>
      <c r="G34" s="116">
        <f>SUM(G9:G33)</f>
        <v>62137.5</v>
      </c>
      <c r="H34" s="116">
        <f>SUM(H9:H33)</f>
        <v>62137.5</v>
      </c>
      <c r="I34" s="116">
        <f>SUM(I9:I33)</f>
        <v>11385</v>
      </c>
    </row>
    <row r="35" spans="1:9" ht="15" x14ac:dyDescent="0.3">
      <c r="A35" s="278"/>
      <c r="B35" s="278"/>
      <c r="C35" s="278"/>
      <c r="D35" s="278"/>
      <c r="E35" s="278"/>
      <c r="F35" s="278"/>
      <c r="G35" s="278"/>
      <c r="H35" s="233"/>
      <c r="I35" s="233"/>
    </row>
    <row r="36" spans="1:9" ht="15" x14ac:dyDescent="0.3">
      <c r="A36" s="279" t="s">
        <v>447</v>
      </c>
      <c r="B36" s="279"/>
      <c r="C36" s="278"/>
      <c r="D36" s="278"/>
      <c r="E36" s="278"/>
      <c r="F36" s="278"/>
      <c r="G36" s="278"/>
      <c r="H36" s="233"/>
      <c r="I36" s="233"/>
    </row>
    <row r="37" spans="1:9" ht="15" x14ac:dyDescent="0.3">
      <c r="A37" s="279"/>
      <c r="B37" s="279"/>
      <c r="C37" s="278"/>
      <c r="D37" s="278"/>
      <c r="E37" s="278"/>
      <c r="F37" s="278"/>
      <c r="G37" s="278"/>
      <c r="H37" s="233"/>
      <c r="I37" s="233"/>
    </row>
    <row r="38" spans="1:9" ht="15" x14ac:dyDescent="0.3">
      <c r="A38" s="279"/>
      <c r="B38" s="279" t="s">
        <v>927</v>
      </c>
      <c r="C38" s="233"/>
      <c r="D38" s="233"/>
      <c r="E38" s="233"/>
      <c r="F38" s="233"/>
      <c r="G38" s="233"/>
      <c r="H38" s="233"/>
      <c r="I38" s="233"/>
    </row>
    <row r="39" spans="1:9" ht="15" x14ac:dyDescent="0.3">
      <c r="A39" s="279"/>
      <c r="B39" s="279"/>
      <c r="C39" s="233"/>
      <c r="D39" s="233"/>
      <c r="E39" s="233"/>
      <c r="F39" s="233"/>
      <c r="G39" s="233"/>
      <c r="H39" s="233"/>
      <c r="I39" s="233"/>
    </row>
    <row r="40" spans="1:9" x14ac:dyDescent="0.2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 ht="15" x14ac:dyDescent="0.3">
      <c r="A41" s="239" t="s">
        <v>107</v>
      </c>
      <c r="B41" s="239"/>
      <c r="C41" s="233"/>
      <c r="D41" s="233"/>
      <c r="E41" s="233"/>
      <c r="F41" s="233"/>
      <c r="G41" s="233"/>
      <c r="H41" s="233"/>
      <c r="I41" s="233"/>
    </row>
    <row r="42" spans="1:9" ht="15" x14ac:dyDescent="0.3">
      <c r="A42" s="233"/>
      <c r="B42" s="233"/>
      <c r="C42" s="233"/>
      <c r="D42" s="233"/>
      <c r="E42" s="233"/>
      <c r="F42" s="233"/>
      <c r="G42" s="233"/>
      <c r="H42" s="233"/>
      <c r="I42" s="233"/>
    </row>
    <row r="43" spans="1:9" ht="15" x14ac:dyDescent="0.3">
      <c r="A43" s="233"/>
      <c r="B43" s="233"/>
      <c r="C43" s="233"/>
      <c r="D43" s="233"/>
      <c r="E43" s="237"/>
      <c r="F43" s="237"/>
      <c r="G43" s="237"/>
      <c r="H43" s="233"/>
      <c r="I43" s="233"/>
    </row>
    <row r="44" spans="1:9" ht="15" x14ac:dyDescent="0.3">
      <c r="A44" s="239"/>
      <c r="B44" s="239"/>
      <c r="C44" s="239" t="s">
        <v>399</v>
      </c>
      <c r="D44" s="239"/>
      <c r="E44" s="239"/>
      <c r="F44" s="239"/>
      <c r="G44" s="239"/>
      <c r="H44" s="233"/>
      <c r="I44" s="233"/>
    </row>
    <row r="45" spans="1:9" ht="15" x14ac:dyDescent="0.3">
      <c r="A45" s="233"/>
      <c r="B45" s="233"/>
      <c r="C45" s="233" t="s">
        <v>398</v>
      </c>
      <c r="D45" s="233"/>
      <c r="E45" s="233"/>
      <c r="F45" s="233"/>
      <c r="G45" s="233"/>
      <c r="H45" s="233"/>
      <c r="I45" s="233"/>
    </row>
    <row r="46" spans="1:9" x14ac:dyDescent="0.2">
      <c r="A46" s="241"/>
      <c r="B46" s="241"/>
      <c r="C46" s="241" t="s">
        <v>140</v>
      </c>
      <c r="D46" s="241"/>
      <c r="E46" s="241"/>
      <c r="F46" s="241"/>
      <c r="G46" s="241"/>
    </row>
  </sheetData>
  <mergeCells count="2">
    <mergeCell ref="I1:J1"/>
    <mergeCell ref="I2:J2"/>
  </mergeCells>
  <printOptions gridLines="1"/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view="pageBreakPreview" topLeftCell="A187" zoomScale="70" zoomScaleSheetLayoutView="70" workbookViewId="0">
      <selection activeCell="F17" sqref="F17"/>
    </sheetView>
  </sheetViews>
  <sheetFormatPr defaultRowHeight="12.75" x14ac:dyDescent="0.2"/>
  <cols>
    <col min="1" max="1" width="17.42578125" customWidth="1"/>
    <col min="2" max="2" width="17.8554687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8" customWidth="1"/>
    <col min="8" max="8" width="12" customWidth="1"/>
    <col min="9" max="9" width="6.42578125" customWidth="1"/>
  </cols>
  <sheetData>
    <row r="1" spans="1:9" ht="15" x14ac:dyDescent="0.3">
      <c r="A1" s="104" t="s">
        <v>370</v>
      </c>
      <c r="B1" s="104" t="s">
        <v>370</v>
      </c>
      <c r="C1" s="107"/>
      <c r="D1" s="107"/>
      <c r="E1" s="107"/>
      <c r="F1" s="107" t="s">
        <v>971</v>
      </c>
      <c r="H1" s="535"/>
      <c r="I1" s="535"/>
    </row>
    <row r="2" spans="1:9" ht="15" x14ac:dyDescent="0.3">
      <c r="A2" s="106" t="s">
        <v>141</v>
      </c>
      <c r="B2" s="106" t="s">
        <v>141</v>
      </c>
      <c r="C2" s="107"/>
      <c r="D2" s="107"/>
      <c r="E2" s="107"/>
      <c r="F2" s="107" t="s">
        <v>981</v>
      </c>
      <c r="G2" s="107"/>
      <c r="H2" s="533"/>
      <c r="I2" s="533"/>
    </row>
    <row r="3" spans="1:9" ht="15" x14ac:dyDescent="0.3">
      <c r="A3" s="106"/>
      <c r="B3" s="106"/>
      <c r="C3" s="106"/>
      <c r="D3" s="106"/>
      <c r="E3" s="106"/>
      <c r="F3" s="106"/>
      <c r="G3" s="106"/>
      <c r="H3" s="443"/>
      <c r="I3" s="443"/>
    </row>
    <row r="4" spans="1:9" ht="15" x14ac:dyDescent="0.3">
      <c r="A4" s="107" t="str">
        <f>'ფორმა N2'!A4</f>
        <v>ანგარიშვალდებული პირის დასახელება:</v>
      </c>
      <c r="B4" s="107"/>
      <c r="C4" s="107"/>
      <c r="D4" s="107"/>
      <c r="E4" s="107"/>
      <c r="F4" s="107"/>
      <c r="G4" s="107"/>
      <c r="H4" s="106"/>
      <c r="I4" s="106"/>
    </row>
    <row r="5" spans="1:9" ht="15" x14ac:dyDescent="0.3">
      <c r="A5" s="272" t="s">
        <v>520</v>
      </c>
      <c r="B5" s="110"/>
      <c r="C5" s="110"/>
      <c r="D5" s="110"/>
      <c r="E5" s="110"/>
      <c r="F5" s="110"/>
      <c r="G5" s="106"/>
      <c r="H5" s="111"/>
      <c r="I5" s="111"/>
    </row>
    <row r="6" spans="1:9" ht="15" x14ac:dyDescent="0.3">
      <c r="A6" s="107"/>
      <c r="B6" s="107"/>
      <c r="C6" s="107"/>
      <c r="D6" s="107"/>
      <c r="E6" s="107"/>
      <c r="F6" s="107"/>
      <c r="G6" s="107"/>
      <c r="H6" s="106"/>
      <c r="I6" s="106"/>
    </row>
    <row r="7" spans="1:9" ht="15" x14ac:dyDescent="0.2">
      <c r="A7" s="217"/>
      <c r="B7" s="442"/>
      <c r="C7" s="442"/>
      <c r="D7" s="442"/>
      <c r="E7" s="442"/>
      <c r="F7" s="442"/>
      <c r="G7" s="442"/>
      <c r="H7" s="108"/>
      <c r="I7" s="108"/>
    </row>
    <row r="8" spans="1:9" ht="30" x14ac:dyDescent="0.2">
      <c r="A8" s="120" t="s">
        <v>344</v>
      </c>
      <c r="B8" s="120" t="s">
        <v>345</v>
      </c>
      <c r="C8" s="120" t="s">
        <v>230</v>
      </c>
      <c r="D8" s="120" t="s">
        <v>348</v>
      </c>
      <c r="E8" s="120" t="s">
        <v>347</v>
      </c>
      <c r="F8" s="120" t="s">
        <v>394</v>
      </c>
      <c r="G8" s="109" t="s">
        <v>10</v>
      </c>
      <c r="H8" s="109" t="s">
        <v>9</v>
      </c>
    </row>
    <row r="9" spans="1:9" ht="45.75" customHeight="1" x14ac:dyDescent="0.2">
      <c r="A9" s="445" t="s">
        <v>575</v>
      </c>
      <c r="B9" s="445" t="s">
        <v>721</v>
      </c>
      <c r="C9" s="510" t="s">
        <v>577</v>
      </c>
      <c r="D9" s="445" t="s">
        <v>722</v>
      </c>
      <c r="E9" s="445" t="s">
        <v>723</v>
      </c>
      <c r="F9" s="445" t="s">
        <v>957</v>
      </c>
      <c r="G9" s="4">
        <v>45</v>
      </c>
      <c r="H9" s="4">
        <v>45</v>
      </c>
    </row>
    <row r="10" spans="1:9" ht="32.25" customHeight="1" x14ac:dyDescent="0.2">
      <c r="A10" s="445" t="s">
        <v>724</v>
      </c>
      <c r="B10" s="445" t="s">
        <v>540</v>
      </c>
      <c r="C10" s="510" t="s">
        <v>541</v>
      </c>
      <c r="D10" s="445" t="s">
        <v>722</v>
      </c>
      <c r="E10" s="445" t="s">
        <v>723</v>
      </c>
      <c r="F10" s="445" t="s">
        <v>957</v>
      </c>
      <c r="G10" s="4">
        <v>45</v>
      </c>
      <c r="H10" s="4">
        <v>45</v>
      </c>
    </row>
    <row r="11" spans="1:9" ht="42" customHeight="1" x14ac:dyDescent="0.2">
      <c r="A11" s="117" t="s">
        <v>708</v>
      </c>
      <c r="B11" s="117" t="s">
        <v>709</v>
      </c>
      <c r="C11" s="510" t="s">
        <v>710</v>
      </c>
      <c r="D11" s="445" t="s">
        <v>722</v>
      </c>
      <c r="E11" s="445" t="s">
        <v>723</v>
      </c>
      <c r="F11" s="445" t="s">
        <v>957</v>
      </c>
      <c r="G11" s="4">
        <v>45</v>
      </c>
      <c r="H11" s="4">
        <v>45</v>
      </c>
    </row>
    <row r="12" spans="1:9" ht="40.5" customHeight="1" x14ac:dyDescent="0.2">
      <c r="A12" s="117" t="s">
        <v>700</v>
      </c>
      <c r="B12" s="117" t="s">
        <v>537</v>
      </c>
      <c r="C12" s="510" t="s">
        <v>538</v>
      </c>
      <c r="D12" s="445" t="s">
        <v>722</v>
      </c>
      <c r="E12" s="445" t="s">
        <v>723</v>
      </c>
      <c r="F12" s="445" t="s">
        <v>957</v>
      </c>
      <c r="G12" s="4">
        <v>45</v>
      </c>
      <c r="H12" s="4">
        <v>45</v>
      </c>
    </row>
    <row r="13" spans="1:9" ht="53.25" customHeight="1" x14ac:dyDescent="0.2">
      <c r="A13" s="445" t="s">
        <v>575</v>
      </c>
      <c r="B13" s="445" t="s">
        <v>721</v>
      </c>
      <c r="C13" s="510" t="s">
        <v>577</v>
      </c>
      <c r="D13" s="445" t="s">
        <v>722</v>
      </c>
      <c r="E13" s="117" t="s">
        <v>725</v>
      </c>
      <c r="F13" s="117" t="s">
        <v>958</v>
      </c>
      <c r="G13" s="4">
        <v>45</v>
      </c>
      <c r="H13" s="4">
        <v>45</v>
      </c>
    </row>
    <row r="14" spans="1:9" ht="35.25" customHeight="1" x14ac:dyDescent="0.2">
      <c r="A14" s="445" t="s">
        <v>724</v>
      </c>
      <c r="B14" s="445" t="s">
        <v>540</v>
      </c>
      <c r="C14" s="510" t="s">
        <v>541</v>
      </c>
      <c r="D14" s="445" t="s">
        <v>722</v>
      </c>
      <c r="E14" s="117" t="s">
        <v>725</v>
      </c>
      <c r="F14" s="117" t="s">
        <v>958</v>
      </c>
      <c r="G14" s="4">
        <v>45</v>
      </c>
      <c r="H14" s="4">
        <v>45</v>
      </c>
    </row>
    <row r="15" spans="1:9" ht="32.25" customHeight="1" x14ac:dyDescent="0.3">
      <c r="A15" s="117" t="s">
        <v>702</v>
      </c>
      <c r="B15" s="117" t="s">
        <v>703</v>
      </c>
      <c r="C15" s="512" t="s">
        <v>704</v>
      </c>
      <c r="D15" s="445" t="s">
        <v>722</v>
      </c>
      <c r="E15" s="117" t="s">
        <v>725</v>
      </c>
      <c r="F15" s="117" t="s">
        <v>958</v>
      </c>
      <c r="G15" s="4">
        <v>45</v>
      </c>
      <c r="H15" s="4">
        <v>45</v>
      </c>
    </row>
    <row r="16" spans="1:9" ht="33" customHeight="1" x14ac:dyDescent="0.2">
      <c r="A16" s="117" t="s">
        <v>700</v>
      </c>
      <c r="B16" s="117" t="s">
        <v>537</v>
      </c>
      <c r="C16" s="510" t="s">
        <v>538</v>
      </c>
      <c r="D16" s="445" t="s">
        <v>722</v>
      </c>
      <c r="E16" s="117" t="s">
        <v>725</v>
      </c>
      <c r="F16" s="117" t="s">
        <v>958</v>
      </c>
      <c r="G16" s="4">
        <v>45</v>
      </c>
      <c r="H16" s="4">
        <v>45</v>
      </c>
    </row>
    <row r="17" spans="1:8" ht="35.25" customHeight="1" x14ac:dyDescent="0.2">
      <c r="A17" s="505" t="s">
        <v>708</v>
      </c>
      <c r="B17" s="505" t="s">
        <v>709</v>
      </c>
      <c r="C17" s="510" t="s">
        <v>710</v>
      </c>
      <c r="D17" s="445" t="s">
        <v>722</v>
      </c>
      <c r="E17" s="117" t="s">
        <v>725</v>
      </c>
      <c r="F17" s="117" t="s">
        <v>958</v>
      </c>
      <c r="G17" s="4">
        <v>45</v>
      </c>
      <c r="H17" s="4">
        <v>45</v>
      </c>
    </row>
    <row r="18" spans="1:8" ht="35.25" customHeight="1" x14ac:dyDescent="0.2">
      <c r="A18" s="117" t="s">
        <v>575</v>
      </c>
      <c r="B18" s="117" t="s">
        <v>721</v>
      </c>
      <c r="C18" s="510" t="s">
        <v>577</v>
      </c>
      <c r="D18" s="445" t="s">
        <v>722</v>
      </c>
      <c r="E18" s="117" t="s">
        <v>728</v>
      </c>
      <c r="F18" s="117" t="s">
        <v>959</v>
      </c>
      <c r="G18" s="4">
        <v>45</v>
      </c>
      <c r="H18" s="4">
        <v>45</v>
      </c>
    </row>
    <row r="19" spans="1:8" ht="35.25" customHeight="1" x14ac:dyDescent="0.3">
      <c r="A19" s="117" t="s">
        <v>702</v>
      </c>
      <c r="B19" s="117" t="s">
        <v>703</v>
      </c>
      <c r="C19" s="512" t="s">
        <v>704</v>
      </c>
      <c r="D19" s="445" t="s">
        <v>722</v>
      </c>
      <c r="E19" s="117" t="s">
        <v>728</v>
      </c>
      <c r="F19" s="117" t="s">
        <v>959</v>
      </c>
      <c r="G19" s="4">
        <v>45</v>
      </c>
      <c r="H19" s="4">
        <v>45</v>
      </c>
    </row>
    <row r="20" spans="1:8" ht="34.5" customHeight="1" x14ac:dyDescent="0.3">
      <c r="A20" s="117" t="s">
        <v>727</v>
      </c>
      <c r="B20" s="117" t="s">
        <v>714</v>
      </c>
      <c r="C20" s="512" t="s">
        <v>715</v>
      </c>
      <c r="D20" s="445" t="s">
        <v>722</v>
      </c>
      <c r="E20" s="117" t="s">
        <v>728</v>
      </c>
      <c r="F20" s="117" t="s">
        <v>959</v>
      </c>
      <c r="G20" s="4">
        <v>45</v>
      </c>
      <c r="H20" s="4">
        <v>45</v>
      </c>
    </row>
    <row r="21" spans="1:8" ht="30" x14ac:dyDescent="0.2">
      <c r="A21" s="117" t="s">
        <v>700</v>
      </c>
      <c r="B21" s="117" t="s">
        <v>537</v>
      </c>
      <c r="C21" s="510" t="s">
        <v>538</v>
      </c>
      <c r="D21" s="445" t="s">
        <v>722</v>
      </c>
      <c r="E21" s="117" t="s">
        <v>728</v>
      </c>
      <c r="F21" s="117" t="s">
        <v>959</v>
      </c>
      <c r="G21" s="4">
        <v>45</v>
      </c>
      <c r="H21" s="4">
        <v>45</v>
      </c>
    </row>
    <row r="22" spans="1:8" ht="30" x14ac:dyDescent="0.2">
      <c r="A22" s="117" t="s">
        <v>695</v>
      </c>
      <c r="B22" s="117" t="s">
        <v>696</v>
      </c>
      <c r="C22" s="511" t="s">
        <v>697</v>
      </c>
      <c r="D22" s="445" t="s">
        <v>722</v>
      </c>
      <c r="E22" s="117" t="s">
        <v>730</v>
      </c>
      <c r="F22" s="117" t="s">
        <v>960</v>
      </c>
      <c r="G22" s="4">
        <v>60</v>
      </c>
      <c r="H22" s="4">
        <v>60</v>
      </c>
    </row>
    <row r="23" spans="1:8" ht="30" x14ac:dyDescent="0.2">
      <c r="A23" s="117" t="s">
        <v>575</v>
      </c>
      <c r="B23" s="117" t="s">
        <v>576</v>
      </c>
      <c r="C23" s="510" t="s">
        <v>577</v>
      </c>
      <c r="D23" s="445" t="s">
        <v>722</v>
      </c>
      <c r="E23" s="117" t="s">
        <v>730</v>
      </c>
      <c r="F23" s="117" t="s">
        <v>960</v>
      </c>
      <c r="G23" s="4">
        <v>60</v>
      </c>
      <c r="H23" s="4">
        <v>60</v>
      </c>
    </row>
    <row r="24" spans="1:8" ht="30" x14ac:dyDescent="0.2">
      <c r="A24" s="117" t="s">
        <v>708</v>
      </c>
      <c r="B24" s="117" t="s">
        <v>709</v>
      </c>
      <c r="C24" s="510" t="s">
        <v>710</v>
      </c>
      <c r="D24" s="445" t="s">
        <v>722</v>
      </c>
      <c r="E24" s="117" t="s">
        <v>730</v>
      </c>
      <c r="F24" s="117" t="s">
        <v>960</v>
      </c>
      <c r="G24" s="4">
        <v>60</v>
      </c>
      <c r="H24" s="4">
        <v>60</v>
      </c>
    </row>
    <row r="25" spans="1:8" ht="30" x14ac:dyDescent="0.2">
      <c r="A25" s="117" t="s">
        <v>700</v>
      </c>
      <c r="B25" s="117" t="s">
        <v>537</v>
      </c>
      <c r="C25" s="510" t="s">
        <v>538</v>
      </c>
      <c r="D25" s="445" t="s">
        <v>722</v>
      </c>
      <c r="E25" s="117" t="s">
        <v>730</v>
      </c>
      <c r="F25" s="117" t="s">
        <v>960</v>
      </c>
      <c r="G25" s="4">
        <v>60</v>
      </c>
      <c r="H25" s="4">
        <v>60</v>
      </c>
    </row>
    <row r="26" spans="1:8" ht="45" x14ac:dyDescent="0.2">
      <c r="A26" s="117" t="s">
        <v>575</v>
      </c>
      <c r="B26" s="117" t="s">
        <v>576</v>
      </c>
      <c r="C26" s="510" t="s">
        <v>577</v>
      </c>
      <c r="D26" s="445" t="s">
        <v>722</v>
      </c>
      <c r="E26" s="117" t="s">
        <v>735</v>
      </c>
      <c r="F26" s="117" t="s">
        <v>961</v>
      </c>
      <c r="G26" s="4">
        <v>60</v>
      </c>
      <c r="H26" s="4">
        <v>60</v>
      </c>
    </row>
    <row r="27" spans="1:8" ht="45" x14ac:dyDescent="0.2">
      <c r="A27" s="117" t="s">
        <v>708</v>
      </c>
      <c r="B27" s="117" t="s">
        <v>709</v>
      </c>
      <c r="C27" s="510" t="s">
        <v>710</v>
      </c>
      <c r="D27" s="445" t="s">
        <v>722</v>
      </c>
      <c r="E27" s="117" t="s">
        <v>735</v>
      </c>
      <c r="F27" s="117" t="s">
        <v>961</v>
      </c>
      <c r="G27" s="4">
        <v>60</v>
      </c>
      <c r="H27" s="4">
        <v>60</v>
      </c>
    </row>
    <row r="28" spans="1:8" ht="45" x14ac:dyDescent="0.2">
      <c r="A28" s="117" t="s">
        <v>700</v>
      </c>
      <c r="B28" s="117" t="s">
        <v>537</v>
      </c>
      <c r="C28" s="510" t="s">
        <v>538</v>
      </c>
      <c r="D28" s="445" t="s">
        <v>722</v>
      </c>
      <c r="E28" s="117" t="s">
        <v>735</v>
      </c>
      <c r="F28" s="117" t="s">
        <v>961</v>
      </c>
      <c r="G28" s="4">
        <v>60</v>
      </c>
      <c r="H28" s="4">
        <v>60</v>
      </c>
    </row>
    <row r="29" spans="1:8" ht="45" x14ac:dyDescent="0.2">
      <c r="A29" s="445" t="s">
        <v>724</v>
      </c>
      <c r="B29" s="445" t="s">
        <v>540</v>
      </c>
      <c r="C29" s="510" t="s">
        <v>541</v>
      </c>
      <c r="D29" s="445" t="s">
        <v>722</v>
      </c>
      <c r="E29" s="117" t="s">
        <v>735</v>
      </c>
      <c r="F29" s="117" t="s">
        <v>961</v>
      </c>
      <c r="G29" s="4">
        <v>75</v>
      </c>
      <c r="H29" s="4">
        <v>75</v>
      </c>
    </row>
    <row r="30" spans="1:8" ht="45" customHeight="1" x14ac:dyDescent="0.2">
      <c r="A30" s="117" t="s">
        <v>575</v>
      </c>
      <c r="B30" s="117" t="s">
        <v>576</v>
      </c>
      <c r="C30" s="510" t="s">
        <v>577</v>
      </c>
      <c r="D30" s="445" t="s">
        <v>722</v>
      </c>
      <c r="E30" s="117" t="s">
        <v>744</v>
      </c>
      <c r="F30" s="117" t="s">
        <v>962</v>
      </c>
      <c r="G30" s="4">
        <v>60</v>
      </c>
      <c r="H30" s="4">
        <v>60</v>
      </c>
    </row>
    <row r="31" spans="1:8" ht="60" customHeight="1" x14ac:dyDescent="0.2">
      <c r="A31" s="117" t="s">
        <v>708</v>
      </c>
      <c r="B31" s="117" t="s">
        <v>709</v>
      </c>
      <c r="C31" s="510" t="s">
        <v>710</v>
      </c>
      <c r="D31" s="445" t="s">
        <v>722</v>
      </c>
      <c r="E31" s="117" t="s">
        <v>744</v>
      </c>
      <c r="F31" s="117" t="s">
        <v>962</v>
      </c>
      <c r="G31" s="4">
        <v>60</v>
      </c>
      <c r="H31" s="4">
        <v>60</v>
      </c>
    </row>
    <row r="32" spans="1:8" ht="30" x14ac:dyDescent="0.2">
      <c r="A32" s="117" t="s">
        <v>700</v>
      </c>
      <c r="B32" s="117" t="s">
        <v>537</v>
      </c>
      <c r="C32" s="510" t="s">
        <v>538</v>
      </c>
      <c r="D32" s="445" t="s">
        <v>722</v>
      </c>
      <c r="E32" s="117" t="s">
        <v>744</v>
      </c>
      <c r="F32" s="117" t="s">
        <v>962</v>
      </c>
      <c r="G32" s="4">
        <v>60</v>
      </c>
      <c r="H32" s="4">
        <v>60</v>
      </c>
    </row>
    <row r="33" spans="1:8" ht="30" x14ac:dyDescent="0.2">
      <c r="A33" s="445" t="s">
        <v>724</v>
      </c>
      <c r="B33" s="445" t="s">
        <v>540</v>
      </c>
      <c r="C33" s="510" t="s">
        <v>541</v>
      </c>
      <c r="D33" s="445" t="s">
        <v>722</v>
      </c>
      <c r="E33" s="117" t="s">
        <v>744</v>
      </c>
      <c r="F33" s="117" t="s">
        <v>962</v>
      </c>
      <c r="G33" s="4">
        <v>160</v>
      </c>
      <c r="H33" s="4">
        <v>160</v>
      </c>
    </row>
    <row r="34" spans="1:8" ht="30" x14ac:dyDescent="0.3">
      <c r="A34" s="117" t="s">
        <v>702</v>
      </c>
      <c r="B34" s="117" t="s">
        <v>703</v>
      </c>
      <c r="C34" s="512" t="s">
        <v>704</v>
      </c>
      <c r="D34" s="445" t="s">
        <v>722</v>
      </c>
      <c r="E34" s="117" t="s">
        <v>744</v>
      </c>
      <c r="F34" s="117" t="s">
        <v>962</v>
      </c>
      <c r="G34" s="4">
        <v>60</v>
      </c>
      <c r="H34" s="4">
        <v>60</v>
      </c>
    </row>
    <row r="35" spans="1:8" ht="45" x14ac:dyDescent="0.2">
      <c r="A35" s="117" t="s">
        <v>724</v>
      </c>
      <c r="B35" s="117" t="s">
        <v>540</v>
      </c>
      <c r="C35" s="510" t="s">
        <v>541</v>
      </c>
      <c r="D35" s="445" t="s">
        <v>722</v>
      </c>
      <c r="E35" s="117" t="s">
        <v>739</v>
      </c>
      <c r="F35" s="505" t="s">
        <v>963</v>
      </c>
      <c r="G35" s="4">
        <v>60</v>
      </c>
      <c r="H35" s="4">
        <v>60</v>
      </c>
    </row>
    <row r="36" spans="1:8" ht="45" x14ac:dyDescent="0.3">
      <c r="A36" s="117" t="s">
        <v>727</v>
      </c>
      <c r="B36" s="117" t="s">
        <v>740</v>
      </c>
      <c r="C36" s="512" t="s">
        <v>715</v>
      </c>
      <c r="D36" s="445" t="s">
        <v>722</v>
      </c>
      <c r="E36" s="117" t="s">
        <v>739</v>
      </c>
      <c r="F36" s="505" t="s">
        <v>963</v>
      </c>
      <c r="G36" s="4">
        <v>60</v>
      </c>
      <c r="H36" s="4">
        <v>60</v>
      </c>
    </row>
    <row r="37" spans="1:8" ht="45" x14ac:dyDescent="0.2">
      <c r="A37" s="117" t="s">
        <v>700</v>
      </c>
      <c r="B37" s="117" t="s">
        <v>537</v>
      </c>
      <c r="C37" s="510" t="s">
        <v>538</v>
      </c>
      <c r="D37" s="445" t="s">
        <v>722</v>
      </c>
      <c r="E37" s="117" t="s">
        <v>739</v>
      </c>
      <c r="F37" s="505" t="s">
        <v>963</v>
      </c>
      <c r="G37" s="4">
        <v>60</v>
      </c>
      <c r="H37" s="4">
        <v>60</v>
      </c>
    </row>
    <row r="38" spans="1:8" ht="45" x14ac:dyDescent="0.2">
      <c r="A38" s="117" t="s">
        <v>575</v>
      </c>
      <c r="B38" s="117" t="s">
        <v>576</v>
      </c>
      <c r="C38" s="510" t="s">
        <v>577</v>
      </c>
      <c r="D38" s="445" t="s">
        <v>722</v>
      </c>
      <c r="E38" s="117" t="s">
        <v>739</v>
      </c>
      <c r="F38" s="505" t="s">
        <v>963</v>
      </c>
      <c r="G38" s="4">
        <v>60</v>
      </c>
      <c r="H38" s="4">
        <v>60</v>
      </c>
    </row>
    <row r="39" spans="1:8" ht="30" x14ac:dyDescent="0.2">
      <c r="A39" s="117" t="s">
        <v>724</v>
      </c>
      <c r="B39" s="117" t="s">
        <v>540</v>
      </c>
      <c r="C39" s="510" t="s">
        <v>541</v>
      </c>
      <c r="D39" s="445" t="s">
        <v>722</v>
      </c>
      <c r="E39" s="117" t="s">
        <v>728</v>
      </c>
      <c r="F39" s="505" t="s">
        <v>964</v>
      </c>
      <c r="G39" s="505">
        <v>45</v>
      </c>
      <c r="H39" s="505">
        <v>45</v>
      </c>
    </row>
    <row r="40" spans="1:8" ht="30" x14ac:dyDescent="0.3">
      <c r="A40" s="117" t="s">
        <v>727</v>
      </c>
      <c r="B40" s="117" t="s">
        <v>740</v>
      </c>
      <c r="C40" s="512" t="s">
        <v>715</v>
      </c>
      <c r="D40" s="445" t="s">
        <v>722</v>
      </c>
      <c r="E40" s="117" t="s">
        <v>728</v>
      </c>
      <c r="F40" s="505" t="s">
        <v>964</v>
      </c>
      <c r="G40" s="505">
        <v>45</v>
      </c>
      <c r="H40" s="505">
        <v>45</v>
      </c>
    </row>
    <row r="41" spans="1:8" ht="30" x14ac:dyDescent="0.2">
      <c r="A41" s="117" t="s">
        <v>700</v>
      </c>
      <c r="B41" s="117" t="s">
        <v>537</v>
      </c>
      <c r="C41" s="510" t="s">
        <v>538</v>
      </c>
      <c r="D41" s="445" t="s">
        <v>722</v>
      </c>
      <c r="E41" s="117" t="s">
        <v>728</v>
      </c>
      <c r="F41" s="505" t="s">
        <v>964</v>
      </c>
      <c r="G41" s="505">
        <v>45</v>
      </c>
      <c r="H41" s="505">
        <v>45</v>
      </c>
    </row>
    <row r="42" spans="1:8" ht="30" x14ac:dyDescent="0.2">
      <c r="A42" s="117" t="s">
        <v>575</v>
      </c>
      <c r="B42" s="117" t="s">
        <v>576</v>
      </c>
      <c r="C42" s="510" t="s">
        <v>577</v>
      </c>
      <c r="D42" s="445" t="s">
        <v>722</v>
      </c>
      <c r="E42" s="117" t="s">
        <v>728</v>
      </c>
      <c r="F42" s="505" t="s">
        <v>964</v>
      </c>
      <c r="G42" s="505">
        <v>45</v>
      </c>
      <c r="H42" s="505">
        <v>45</v>
      </c>
    </row>
    <row r="43" spans="1:8" ht="42" customHeight="1" x14ac:dyDescent="0.2">
      <c r="A43" s="117" t="s">
        <v>575</v>
      </c>
      <c r="B43" s="117" t="s">
        <v>576</v>
      </c>
      <c r="C43" s="510" t="s">
        <v>577</v>
      </c>
      <c r="D43" s="445" t="s">
        <v>722</v>
      </c>
      <c r="E43" s="117" t="s">
        <v>735</v>
      </c>
      <c r="F43" s="505" t="s">
        <v>965</v>
      </c>
      <c r="G43" s="507">
        <v>60</v>
      </c>
      <c r="H43" s="508">
        <v>60</v>
      </c>
    </row>
    <row r="44" spans="1:8" ht="45" x14ac:dyDescent="0.2">
      <c r="A44" s="117" t="s">
        <v>724</v>
      </c>
      <c r="B44" s="117" t="s">
        <v>540</v>
      </c>
      <c r="C44" s="510" t="s">
        <v>541</v>
      </c>
      <c r="D44" s="445" t="s">
        <v>722</v>
      </c>
      <c r="E44" s="117" t="s">
        <v>735</v>
      </c>
      <c r="F44" s="505" t="s">
        <v>965</v>
      </c>
      <c r="G44" s="507">
        <v>60</v>
      </c>
      <c r="H44" s="508">
        <v>60</v>
      </c>
    </row>
    <row r="45" spans="1:8" ht="45" x14ac:dyDescent="0.3">
      <c r="A45" s="117" t="s">
        <v>727</v>
      </c>
      <c r="B45" s="117" t="s">
        <v>740</v>
      </c>
      <c r="C45" s="512" t="s">
        <v>715</v>
      </c>
      <c r="D45" s="445" t="s">
        <v>722</v>
      </c>
      <c r="E45" s="117" t="s">
        <v>735</v>
      </c>
      <c r="F45" s="505" t="s">
        <v>965</v>
      </c>
      <c r="G45" s="507">
        <v>60</v>
      </c>
      <c r="H45" s="508">
        <v>60</v>
      </c>
    </row>
    <row r="46" spans="1:8" ht="45" x14ac:dyDescent="0.2">
      <c r="A46" s="117" t="s">
        <v>700</v>
      </c>
      <c r="B46" s="117" t="s">
        <v>537</v>
      </c>
      <c r="C46" s="510" t="s">
        <v>538</v>
      </c>
      <c r="D46" s="445" t="s">
        <v>722</v>
      </c>
      <c r="E46" s="117" t="s">
        <v>735</v>
      </c>
      <c r="F46" s="505" t="s">
        <v>965</v>
      </c>
      <c r="G46" s="507">
        <v>60</v>
      </c>
      <c r="H46" s="508">
        <v>60</v>
      </c>
    </row>
    <row r="47" spans="1:8" ht="30" x14ac:dyDescent="0.2">
      <c r="A47" s="117" t="s">
        <v>575</v>
      </c>
      <c r="B47" s="117" t="s">
        <v>576</v>
      </c>
      <c r="C47" s="510" t="s">
        <v>577</v>
      </c>
      <c r="D47" s="445" t="s">
        <v>722</v>
      </c>
      <c r="E47" s="117" t="s">
        <v>737</v>
      </c>
      <c r="F47" s="505" t="s">
        <v>966</v>
      </c>
      <c r="G47" s="507">
        <v>45</v>
      </c>
      <c r="H47" s="504">
        <v>45</v>
      </c>
    </row>
    <row r="48" spans="1:8" ht="30" x14ac:dyDescent="0.2">
      <c r="A48" s="117" t="s">
        <v>724</v>
      </c>
      <c r="B48" s="117" t="s">
        <v>540</v>
      </c>
      <c r="C48" s="510" t="s">
        <v>541</v>
      </c>
      <c r="D48" s="445" t="s">
        <v>722</v>
      </c>
      <c r="E48" s="117" t="s">
        <v>737</v>
      </c>
      <c r="F48" s="505" t="s">
        <v>966</v>
      </c>
      <c r="G48" s="507">
        <v>45</v>
      </c>
      <c r="H48" s="504">
        <v>45</v>
      </c>
    </row>
    <row r="49" spans="1:8" ht="30" x14ac:dyDescent="0.2">
      <c r="A49" s="117" t="s">
        <v>708</v>
      </c>
      <c r="B49" s="117" t="s">
        <v>967</v>
      </c>
      <c r="C49" s="510" t="s">
        <v>710</v>
      </c>
      <c r="D49" s="445" t="s">
        <v>722</v>
      </c>
      <c r="E49" s="117" t="s">
        <v>737</v>
      </c>
      <c r="F49" s="505" t="s">
        <v>966</v>
      </c>
      <c r="G49" s="507">
        <v>45</v>
      </c>
      <c r="H49" s="504">
        <v>45</v>
      </c>
    </row>
    <row r="50" spans="1:8" ht="30" x14ac:dyDescent="0.2">
      <c r="A50" s="117" t="s">
        <v>700</v>
      </c>
      <c r="B50" s="117" t="s">
        <v>537</v>
      </c>
      <c r="C50" s="510" t="s">
        <v>538</v>
      </c>
      <c r="D50" s="445" t="s">
        <v>722</v>
      </c>
      <c r="E50" s="117" t="s">
        <v>737</v>
      </c>
      <c r="F50" s="505" t="s">
        <v>966</v>
      </c>
      <c r="G50" s="507">
        <v>45</v>
      </c>
      <c r="H50" s="504">
        <v>45</v>
      </c>
    </row>
    <row r="51" spans="1:8" ht="30" x14ac:dyDescent="0.2">
      <c r="A51" s="117" t="s">
        <v>575</v>
      </c>
      <c r="B51" s="117" t="s">
        <v>576</v>
      </c>
      <c r="C51" s="510" t="s">
        <v>577</v>
      </c>
      <c r="D51" s="445" t="s">
        <v>722</v>
      </c>
      <c r="E51" s="117" t="s">
        <v>744</v>
      </c>
      <c r="F51" s="505" t="s">
        <v>968</v>
      </c>
      <c r="G51" s="503">
        <v>60</v>
      </c>
      <c r="H51" s="504">
        <v>60</v>
      </c>
    </row>
    <row r="52" spans="1:8" ht="30" x14ac:dyDescent="0.2">
      <c r="A52" s="117" t="s">
        <v>724</v>
      </c>
      <c r="B52" s="117" t="s">
        <v>540</v>
      </c>
      <c r="C52" s="510" t="s">
        <v>541</v>
      </c>
      <c r="D52" s="445" t="s">
        <v>722</v>
      </c>
      <c r="E52" s="117" t="s">
        <v>744</v>
      </c>
      <c r="F52" s="505" t="s">
        <v>968</v>
      </c>
      <c r="G52" s="503">
        <v>60</v>
      </c>
      <c r="H52" s="504">
        <v>60</v>
      </c>
    </row>
    <row r="53" spans="1:8" ht="30" x14ac:dyDescent="0.2">
      <c r="A53" s="117" t="s">
        <v>708</v>
      </c>
      <c r="B53" s="117" t="s">
        <v>967</v>
      </c>
      <c r="C53" s="510" t="s">
        <v>710</v>
      </c>
      <c r="D53" s="445" t="s">
        <v>722</v>
      </c>
      <c r="E53" s="117" t="s">
        <v>744</v>
      </c>
      <c r="F53" s="505" t="s">
        <v>968</v>
      </c>
      <c r="G53" s="503">
        <v>60</v>
      </c>
      <c r="H53" s="504">
        <v>60</v>
      </c>
    </row>
    <row r="54" spans="1:8" ht="30" x14ac:dyDescent="0.2">
      <c r="A54" s="117" t="s">
        <v>700</v>
      </c>
      <c r="B54" s="117" t="s">
        <v>537</v>
      </c>
      <c r="C54" s="510" t="s">
        <v>538</v>
      </c>
      <c r="D54" s="445" t="s">
        <v>722</v>
      </c>
      <c r="E54" s="117" t="s">
        <v>744</v>
      </c>
      <c r="F54" s="505" t="s">
        <v>968</v>
      </c>
      <c r="G54" s="503">
        <v>60</v>
      </c>
      <c r="H54" s="504">
        <v>60</v>
      </c>
    </row>
    <row r="55" spans="1:8" ht="30" x14ac:dyDescent="0.2">
      <c r="A55" s="117" t="s">
        <v>575</v>
      </c>
      <c r="B55" s="117" t="s">
        <v>576</v>
      </c>
      <c r="C55" s="510" t="s">
        <v>577</v>
      </c>
      <c r="D55" s="445" t="s">
        <v>722</v>
      </c>
      <c r="E55" s="445" t="s">
        <v>723</v>
      </c>
      <c r="F55" s="505" t="s">
        <v>969</v>
      </c>
      <c r="G55" s="506">
        <v>45</v>
      </c>
      <c r="H55" s="509">
        <v>45</v>
      </c>
    </row>
    <row r="56" spans="1:8" ht="30" x14ac:dyDescent="0.2">
      <c r="A56" s="117" t="s">
        <v>724</v>
      </c>
      <c r="B56" s="117" t="s">
        <v>540</v>
      </c>
      <c r="C56" s="510" t="s">
        <v>541</v>
      </c>
      <c r="D56" s="445" t="s">
        <v>722</v>
      </c>
      <c r="E56" s="445" t="s">
        <v>723</v>
      </c>
      <c r="F56" s="505" t="s">
        <v>969</v>
      </c>
      <c r="G56" s="506">
        <v>45</v>
      </c>
      <c r="H56" s="509">
        <v>45</v>
      </c>
    </row>
    <row r="57" spans="1:8" ht="30" x14ac:dyDescent="0.2">
      <c r="A57" s="117" t="s">
        <v>708</v>
      </c>
      <c r="B57" s="117" t="s">
        <v>967</v>
      </c>
      <c r="C57" s="503"/>
      <c r="D57" s="445" t="s">
        <v>722</v>
      </c>
      <c r="E57" s="445" t="s">
        <v>723</v>
      </c>
      <c r="F57" s="505" t="s">
        <v>969</v>
      </c>
      <c r="G57" s="506">
        <v>45</v>
      </c>
      <c r="H57" s="509">
        <v>45</v>
      </c>
    </row>
    <row r="58" spans="1:8" ht="30" x14ac:dyDescent="0.2">
      <c r="A58" s="117" t="s">
        <v>700</v>
      </c>
      <c r="B58" s="117" t="s">
        <v>537</v>
      </c>
      <c r="C58" s="510" t="s">
        <v>538</v>
      </c>
      <c r="D58" s="445" t="s">
        <v>722</v>
      </c>
      <c r="E58" s="445" t="s">
        <v>723</v>
      </c>
      <c r="F58" s="505" t="s">
        <v>969</v>
      </c>
      <c r="G58" s="506">
        <v>45</v>
      </c>
      <c r="H58" s="509">
        <v>45</v>
      </c>
    </row>
    <row r="59" spans="1:8" ht="30" x14ac:dyDescent="0.2">
      <c r="A59" s="445" t="s">
        <v>575</v>
      </c>
      <c r="B59" s="445" t="s">
        <v>721</v>
      </c>
      <c r="C59" s="510" t="s">
        <v>577</v>
      </c>
      <c r="D59" s="445" t="s">
        <v>722</v>
      </c>
      <c r="E59" s="445" t="s">
        <v>723</v>
      </c>
      <c r="F59" s="117" t="s">
        <v>970</v>
      </c>
      <c r="G59" s="4">
        <v>45</v>
      </c>
      <c r="H59" s="4">
        <v>45</v>
      </c>
    </row>
    <row r="60" spans="1:8" ht="30" x14ac:dyDescent="0.2">
      <c r="A60" s="445" t="s">
        <v>724</v>
      </c>
      <c r="B60" s="445" t="s">
        <v>540</v>
      </c>
      <c r="C60" s="510" t="s">
        <v>541</v>
      </c>
      <c r="D60" s="445" t="s">
        <v>722</v>
      </c>
      <c r="E60" s="445" t="s">
        <v>723</v>
      </c>
      <c r="F60" s="117" t="s">
        <v>970</v>
      </c>
      <c r="G60" s="4">
        <v>45</v>
      </c>
      <c r="H60" s="4">
        <v>45</v>
      </c>
    </row>
    <row r="61" spans="1:8" ht="30" x14ac:dyDescent="0.2">
      <c r="A61" s="445" t="s">
        <v>708</v>
      </c>
      <c r="B61" s="445" t="s">
        <v>709</v>
      </c>
      <c r="C61" s="510" t="s">
        <v>710</v>
      </c>
      <c r="D61" s="445" t="s">
        <v>722</v>
      </c>
      <c r="E61" s="445" t="s">
        <v>723</v>
      </c>
      <c r="F61" s="117" t="s">
        <v>970</v>
      </c>
      <c r="G61" s="4">
        <v>45</v>
      </c>
      <c r="H61" s="4">
        <v>45</v>
      </c>
    </row>
    <row r="62" spans="1:8" ht="30" x14ac:dyDescent="0.2">
      <c r="A62" s="445" t="s">
        <v>700</v>
      </c>
      <c r="B62" s="445" t="s">
        <v>537</v>
      </c>
      <c r="C62" s="510" t="s">
        <v>538</v>
      </c>
      <c r="D62" s="445" t="s">
        <v>722</v>
      </c>
      <c r="E62" s="445" t="s">
        <v>723</v>
      </c>
      <c r="F62" s="117" t="s">
        <v>970</v>
      </c>
      <c r="G62" s="4">
        <v>45</v>
      </c>
      <c r="H62" s="4">
        <v>45</v>
      </c>
    </row>
    <row r="63" spans="1:8" ht="30" x14ac:dyDescent="0.2">
      <c r="A63" s="445" t="s">
        <v>575</v>
      </c>
      <c r="B63" s="445" t="s">
        <v>721</v>
      </c>
      <c r="C63" s="510" t="s">
        <v>577</v>
      </c>
      <c r="D63" s="445" t="s">
        <v>722</v>
      </c>
      <c r="E63" s="117" t="s">
        <v>725</v>
      </c>
      <c r="F63" s="117" t="s">
        <v>726</v>
      </c>
      <c r="G63" s="4">
        <v>45</v>
      </c>
      <c r="H63" s="4">
        <v>45</v>
      </c>
    </row>
    <row r="64" spans="1:8" ht="30" x14ac:dyDescent="0.2">
      <c r="A64" s="445" t="s">
        <v>724</v>
      </c>
      <c r="B64" s="445" t="s">
        <v>540</v>
      </c>
      <c r="C64" s="510" t="s">
        <v>541</v>
      </c>
      <c r="D64" s="445" t="s">
        <v>722</v>
      </c>
      <c r="E64" s="117" t="s">
        <v>725</v>
      </c>
      <c r="F64" s="117" t="s">
        <v>726</v>
      </c>
      <c r="G64" s="4">
        <v>45</v>
      </c>
      <c r="H64" s="4">
        <v>45</v>
      </c>
    </row>
    <row r="65" spans="1:8" ht="30" x14ac:dyDescent="0.3">
      <c r="A65" s="445" t="s">
        <v>702</v>
      </c>
      <c r="B65" s="445" t="s">
        <v>703</v>
      </c>
      <c r="C65" s="512" t="s">
        <v>704</v>
      </c>
      <c r="D65" s="445" t="s">
        <v>722</v>
      </c>
      <c r="E65" s="117" t="s">
        <v>725</v>
      </c>
      <c r="F65" s="117" t="s">
        <v>726</v>
      </c>
      <c r="G65" s="4">
        <v>45</v>
      </c>
      <c r="H65" s="4">
        <v>45</v>
      </c>
    </row>
    <row r="66" spans="1:8" ht="30" x14ac:dyDescent="0.2">
      <c r="A66" s="445" t="s">
        <v>700</v>
      </c>
      <c r="B66" s="445" t="s">
        <v>537</v>
      </c>
      <c r="C66" s="510" t="s">
        <v>538</v>
      </c>
      <c r="D66" s="445" t="s">
        <v>722</v>
      </c>
      <c r="E66" s="117" t="s">
        <v>725</v>
      </c>
      <c r="F66" s="117" t="s">
        <v>726</v>
      </c>
      <c r="G66" s="4">
        <v>45</v>
      </c>
      <c r="H66" s="4">
        <v>45</v>
      </c>
    </row>
    <row r="67" spans="1:8" ht="30" x14ac:dyDescent="0.2">
      <c r="A67" s="445" t="s">
        <v>575</v>
      </c>
      <c r="B67" s="445" t="s">
        <v>721</v>
      </c>
      <c r="C67" s="510" t="s">
        <v>577</v>
      </c>
      <c r="D67" s="445" t="s">
        <v>722</v>
      </c>
      <c r="E67" s="117" t="s">
        <v>728</v>
      </c>
      <c r="F67" s="117" t="s">
        <v>729</v>
      </c>
      <c r="G67" s="4">
        <v>45</v>
      </c>
      <c r="H67" s="4">
        <v>45</v>
      </c>
    </row>
    <row r="68" spans="1:8" ht="30" x14ac:dyDescent="0.3">
      <c r="A68" s="445" t="s">
        <v>702</v>
      </c>
      <c r="B68" s="445" t="s">
        <v>703</v>
      </c>
      <c r="C68" s="512" t="s">
        <v>704</v>
      </c>
      <c r="D68" s="445" t="s">
        <v>722</v>
      </c>
      <c r="E68" s="117" t="s">
        <v>728</v>
      </c>
      <c r="F68" s="117" t="s">
        <v>729</v>
      </c>
      <c r="G68" s="4">
        <v>45</v>
      </c>
      <c r="H68" s="4">
        <v>45</v>
      </c>
    </row>
    <row r="69" spans="1:8" ht="30" x14ac:dyDescent="0.3">
      <c r="A69" s="445" t="s">
        <v>727</v>
      </c>
      <c r="B69" s="445" t="s">
        <v>714</v>
      </c>
      <c r="C69" s="512" t="s">
        <v>715</v>
      </c>
      <c r="D69" s="445" t="s">
        <v>722</v>
      </c>
      <c r="E69" s="117" t="s">
        <v>728</v>
      </c>
      <c r="F69" s="117" t="s">
        <v>729</v>
      </c>
      <c r="G69" s="4">
        <v>45</v>
      </c>
      <c r="H69" s="4">
        <v>45</v>
      </c>
    </row>
    <row r="70" spans="1:8" ht="30" x14ac:dyDescent="0.2">
      <c r="A70" s="117" t="s">
        <v>700</v>
      </c>
      <c r="B70" s="117" t="s">
        <v>537</v>
      </c>
      <c r="C70" s="510" t="s">
        <v>538</v>
      </c>
      <c r="D70" s="445" t="s">
        <v>722</v>
      </c>
      <c r="E70" s="117" t="s">
        <v>728</v>
      </c>
      <c r="F70" s="117" t="s">
        <v>729</v>
      </c>
      <c r="G70" s="4">
        <v>45</v>
      </c>
      <c r="H70" s="4">
        <v>45</v>
      </c>
    </row>
    <row r="71" spans="1:8" ht="30" x14ac:dyDescent="0.2">
      <c r="A71" s="117" t="s">
        <v>695</v>
      </c>
      <c r="B71" s="117" t="s">
        <v>696</v>
      </c>
      <c r="C71" s="511" t="s">
        <v>697</v>
      </c>
      <c r="D71" s="445" t="s">
        <v>722</v>
      </c>
      <c r="E71" s="117" t="s">
        <v>730</v>
      </c>
      <c r="F71" s="117" t="s">
        <v>731</v>
      </c>
      <c r="G71" s="4">
        <v>45</v>
      </c>
      <c r="H71" s="4">
        <v>45</v>
      </c>
    </row>
    <row r="72" spans="1:8" ht="30" x14ac:dyDescent="0.2">
      <c r="A72" s="117" t="s">
        <v>575</v>
      </c>
      <c r="B72" s="117" t="s">
        <v>576</v>
      </c>
      <c r="C72" s="510" t="s">
        <v>577</v>
      </c>
      <c r="D72" s="445" t="s">
        <v>722</v>
      </c>
      <c r="E72" s="117" t="s">
        <v>730</v>
      </c>
      <c r="F72" s="117" t="s">
        <v>731</v>
      </c>
      <c r="G72" s="4">
        <v>45</v>
      </c>
      <c r="H72" s="4">
        <v>45</v>
      </c>
    </row>
    <row r="73" spans="1:8" ht="30" x14ac:dyDescent="0.2">
      <c r="A73" s="117" t="s">
        <v>708</v>
      </c>
      <c r="B73" s="117" t="s">
        <v>709</v>
      </c>
      <c r="C73" s="510" t="s">
        <v>710</v>
      </c>
      <c r="D73" s="445" t="s">
        <v>722</v>
      </c>
      <c r="E73" s="117" t="s">
        <v>730</v>
      </c>
      <c r="F73" s="117" t="s">
        <v>731</v>
      </c>
      <c r="G73" s="4">
        <v>45</v>
      </c>
      <c r="H73" s="4">
        <v>45</v>
      </c>
    </row>
    <row r="74" spans="1:8" ht="30" x14ac:dyDescent="0.2">
      <c r="A74" s="117" t="s">
        <v>700</v>
      </c>
      <c r="B74" s="117" t="s">
        <v>537</v>
      </c>
      <c r="C74" s="510" t="s">
        <v>538</v>
      </c>
      <c r="D74" s="445" t="s">
        <v>722</v>
      </c>
      <c r="E74" s="117" t="s">
        <v>730</v>
      </c>
      <c r="F74" s="117" t="s">
        <v>731</v>
      </c>
      <c r="G74" s="4">
        <v>45</v>
      </c>
      <c r="H74" s="4">
        <v>45</v>
      </c>
    </row>
    <row r="75" spans="1:8" ht="45" x14ac:dyDescent="0.2">
      <c r="A75" s="117" t="s">
        <v>695</v>
      </c>
      <c r="B75" s="117" t="s">
        <v>734</v>
      </c>
      <c r="C75" s="511" t="s">
        <v>697</v>
      </c>
      <c r="D75" s="445" t="s">
        <v>722</v>
      </c>
      <c r="E75" s="117" t="s">
        <v>735</v>
      </c>
      <c r="F75" s="117" t="s">
        <v>736</v>
      </c>
      <c r="G75" s="4">
        <v>60</v>
      </c>
      <c r="H75" s="4">
        <v>60</v>
      </c>
    </row>
    <row r="76" spans="1:8" ht="45" x14ac:dyDescent="0.2">
      <c r="A76" s="117" t="s">
        <v>724</v>
      </c>
      <c r="B76" s="117" t="s">
        <v>540</v>
      </c>
      <c r="C76" s="510" t="s">
        <v>541</v>
      </c>
      <c r="D76" s="445" t="s">
        <v>722</v>
      </c>
      <c r="E76" s="117" t="s">
        <v>735</v>
      </c>
      <c r="F76" s="117" t="s">
        <v>736</v>
      </c>
      <c r="G76" s="4">
        <v>60</v>
      </c>
      <c r="H76" s="4">
        <v>60</v>
      </c>
    </row>
    <row r="77" spans="1:8" ht="45" x14ac:dyDescent="0.3">
      <c r="A77" s="117" t="s">
        <v>727</v>
      </c>
      <c r="B77" s="117" t="s">
        <v>740</v>
      </c>
      <c r="C77" s="512" t="s">
        <v>715</v>
      </c>
      <c r="D77" s="445" t="s">
        <v>722</v>
      </c>
      <c r="E77" s="117" t="s">
        <v>735</v>
      </c>
      <c r="F77" s="117" t="s">
        <v>736</v>
      </c>
      <c r="G77" s="4">
        <v>60</v>
      </c>
      <c r="H77" s="4">
        <v>60</v>
      </c>
    </row>
    <row r="78" spans="1:8" ht="45" x14ac:dyDescent="0.2">
      <c r="A78" s="117" t="s">
        <v>700</v>
      </c>
      <c r="B78" s="117" t="s">
        <v>537</v>
      </c>
      <c r="C78" s="510" t="s">
        <v>538</v>
      </c>
      <c r="D78" s="445" t="s">
        <v>722</v>
      </c>
      <c r="E78" s="117" t="s">
        <v>735</v>
      </c>
      <c r="F78" s="117" t="s">
        <v>736</v>
      </c>
      <c r="G78" s="4">
        <v>80</v>
      </c>
      <c r="H78" s="4">
        <v>80</v>
      </c>
    </row>
    <row r="79" spans="1:8" ht="30" x14ac:dyDescent="0.2">
      <c r="A79" s="117" t="s">
        <v>575</v>
      </c>
      <c r="B79" s="117" t="s">
        <v>576</v>
      </c>
      <c r="C79" s="510" t="s">
        <v>577</v>
      </c>
      <c r="D79" s="445" t="s">
        <v>722</v>
      </c>
      <c r="E79" s="117" t="s">
        <v>737</v>
      </c>
      <c r="F79" s="117" t="s">
        <v>950</v>
      </c>
      <c r="G79" s="4">
        <v>60</v>
      </c>
      <c r="H79" s="4">
        <v>60</v>
      </c>
    </row>
    <row r="80" spans="1:8" ht="30" x14ac:dyDescent="0.2">
      <c r="A80" s="117" t="s">
        <v>724</v>
      </c>
      <c r="B80" s="117" t="s">
        <v>540</v>
      </c>
      <c r="C80" s="510" t="s">
        <v>541</v>
      </c>
      <c r="D80" s="445" t="s">
        <v>722</v>
      </c>
      <c r="E80" s="117" t="s">
        <v>737</v>
      </c>
      <c r="F80" s="117" t="s">
        <v>950</v>
      </c>
      <c r="G80" s="4">
        <v>60</v>
      </c>
      <c r="H80" s="4">
        <v>60</v>
      </c>
    </row>
    <row r="81" spans="1:8" ht="30" x14ac:dyDescent="0.3">
      <c r="A81" s="117" t="s">
        <v>727</v>
      </c>
      <c r="B81" s="117" t="s">
        <v>714</v>
      </c>
      <c r="C81" s="512" t="s">
        <v>715</v>
      </c>
      <c r="D81" s="445" t="s">
        <v>722</v>
      </c>
      <c r="E81" s="117" t="s">
        <v>737</v>
      </c>
      <c r="F81" s="117" t="s">
        <v>950</v>
      </c>
      <c r="G81" s="4">
        <v>60</v>
      </c>
      <c r="H81" s="4">
        <v>60</v>
      </c>
    </row>
    <row r="82" spans="1:8" ht="30" x14ac:dyDescent="0.3">
      <c r="A82" s="129" t="s">
        <v>700</v>
      </c>
      <c r="B82" s="129" t="s">
        <v>537</v>
      </c>
      <c r="C82" s="510" t="s">
        <v>538</v>
      </c>
      <c r="D82" s="445" t="s">
        <v>722</v>
      </c>
      <c r="E82" s="117" t="s">
        <v>737</v>
      </c>
      <c r="F82" s="117" t="s">
        <v>950</v>
      </c>
      <c r="G82" s="501">
        <v>60</v>
      </c>
      <c r="H82" s="501">
        <v>60</v>
      </c>
    </row>
    <row r="83" spans="1:8" ht="15" x14ac:dyDescent="0.2">
      <c r="A83" s="117" t="s">
        <v>523</v>
      </c>
      <c r="B83" s="117" t="s">
        <v>696</v>
      </c>
      <c r="C83" s="510" t="s">
        <v>982</v>
      </c>
      <c r="D83" s="445"/>
      <c r="E83" s="117" t="s">
        <v>732</v>
      </c>
      <c r="F83" s="117" t="s">
        <v>733</v>
      </c>
      <c r="G83" s="4">
        <v>1955</v>
      </c>
      <c r="H83" s="4">
        <v>1955</v>
      </c>
    </row>
    <row r="84" spans="1:8" ht="15" x14ac:dyDescent="0.2">
      <c r="A84" s="117" t="s">
        <v>695</v>
      </c>
      <c r="B84" s="117" t="s">
        <v>696</v>
      </c>
      <c r="C84" s="511" t="s">
        <v>697</v>
      </c>
      <c r="D84" s="445"/>
      <c r="E84" s="117" t="s">
        <v>732</v>
      </c>
      <c r="F84" s="117" t="s">
        <v>733</v>
      </c>
      <c r="G84" s="4">
        <v>3000</v>
      </c>
      <c r="H84" s="4">
        <v>3000</v>
      </c>
    </row>
    <row r="85" spans="1:8" ht="45" x14ac:dyDescent="0.2">
      <c r="A85" s="117" t="s">
        <v>695</v>
      </c>
      <c r="B85" s="117" t="s">
        <v>734</v>
      </c>
      <c r="C85" s="511" t="s">
        <v>697</v>
      </c>
      <c r="D85" s="445" t="s">
        <v>722</v>
      </c>
      <c r="E85" s="117" t="s">
        <v>735</v>
      </c>
      <c r="F85" s="117" t="s">
        <v>736</v>
      </c>
      <c r="G85" s="4">
        <v>60</v>
      </c>
      <c r="H85" s="4">
        <v>60</v>
      </c>
    </row>
    <row r="86" spans="1:8" ht="45" x14ac:dyDescent="0.2">
      <c r="A86" s="117" t="s">
        <v>724</v>
      </c>
      <c r="B86" s="117" t="s">
        <v>540</v>
      </c>
      <c r="C86" s="510" t="s">
        <v>541</v>
      </c>
      <c r="D86" s="445" t="s">
        <v>722</v>
      </c>
      <c r="E86" s="117" t="s">
        <v>735</v>
      </c>
      <c r="F86" s="117" t="s">
        <v>736</v>
      </c>
      <c r="G86" s="4">
        <v>60</v>
      </c>
      <c r="H86" s="4">
        <v>60</v>
      </c>
    </row>
    <row r="87" spans="1:8" ht="45" x14ac:dyDescent="0.3">
      <c r="A87" s="117" t="s">
        <v>727</v>
      </c>
      <c r="B87" s="117" t="s">
        <v>740</v>
      </c>
      <c r="C87" s="512" t="s">
        <v>715</v>
      </c>
      <c r="D87" s="445" t="s">
        <v>722</v>
      </c>
      <c r="E87" s="117" t="s">
        <v>735</v>
      </c>
      <c r="F87" s="117" t="s">
        <v>736</v>
      </c>
      <c r="G87" s="4">
        <v>60</v>
      </c>
      <c r="H87" s="4">
        <v>60</v>
      </c>
    </row>
    <row r="88" spans="1:8" ht="45" x14ac:dyDescent="0.2">
      <c r="A88" s="117" t="s">
        <v>700</v>
      </c>
      <c r="B88" s="117" t="s">
        <v>537</v>
      </c>
      <c r="C88" s="510" t="s">
        <v>538</v>
      </c>
      <c r="D88" s="445" t="s">
        <v>722</v>
      </c>
      <c r="E88" s="117" t="s">
        <v>735</v>
      </c>
      <c r="F88" s="117" t="s">
        <v>736</v>
      </c>
      <c r="G88" s="4">
        <v>80</v>
      </c>
      <c r="H88" s="4">
        <v>80</v>
      </c>
    </row>
    <row r="89" spans="1:8" ht="30" x14ac:dyDescent="0.2">
      <c r="A89" s="117" t="s">
        <v>575</v>
      </c>
      <c r="B89" s="117" t="s">
        <v>576</v>
      </c>
      <c r="C89" s="510" t="s">
        <v>577</v>
      </c>
      <c r="D89" s="445" t="s">
        <v>722</v>
      </c>
      <c r="E89" s="117" t="s">
        <v>737</v>
      </c>
      <c r="F89" s="117" t="s">
        <v>950</v>
      </c>
      <c r="G89" s="4">
        <v>60</v>
      </c>
      <c r="H89" s="4">
        <v>60</v>
      </c>
    </row>
    <row r="90" spans="1:8" ht="30" x14ac:dyDescent="0.2">
      <c r="A90" s="117" t="s">
        <v>724</v>
      </c>
      <c r="B90" s="117" t="s">
        <v>540</v>
      </c>
      <c r="C90" s="510" t="s">
        <v>541</v>
      </c>
      <c r="D90" s="445" t="s">
        <v>722</v>
      </c>
      <c r="E90" s="117" t="s">
        <v>737</v>
      </c>
      <c r="F90" s="117" t="s">
        <v>950</v>
      </c>
      <c r="G90" s="4">
        <v>60</v>
      </c>
      <c r="H90" s="4">
        <v>60</v>
      </c>
    </row>
    <row r="91" spans="1:8" ht="30" x14ac:dyDescent="0.3">
      <c r="A91" s="117" t="s">
        <v>727</v>
      </c>
      <c r="B91" s="117" t="s">
        <v>714</v>
      </c>
      <c r="C91" s="512" t="s">
        <v>715</v>
      </c>
      <c r="D91" s="445" t="s">
        <v>722</v>
      </c>
      <c r="E91" s="117" t="s">
        <v>737</v>
      </c>
      <c r="F91" s="117" t="s">
        <v>950</v>
      </c>
      <c r="G91" s="4">
        <v>60</v>
      </c>
      <c r="H91" s="4">
        <v>60</v>
      </c>
    </row>
    <row r="92" spans="1:8" ht="30" x14ac:dyDescent="0.3">
      <c r="A92" s="129" t="s">
        <v>700</v>
      </c>
      <c r="B92" s="129" t="s">
        <v>537</v>
      </c>
      <c r="C92" s="510" t="s">
        <v>538</v>
      </c>
      <c r="D92" s="445" t="s">
        <v>722</v>
      </c>
      <c r="E92" s="117" t="s">
        <v>737</v>
      </c>
      <c r="F92" s="117" t="s">
        <v>950</v>
      </c>
      <c r="G92" s="501">
        <v>60</v>
      </c>
      <c r="H92" s="501">
        <v>60</v>
      </c>
    </row>
    <row r="93" spans="1:8" ht="15" x14ac:dyDescent="0.2">
      <c r="A93" s="503"/>
      <c r="B93" s="503"/>
      <c r="C93" s="503"/>
      <c r="D93" s="445"/>
      <c r="E93" s="117"/>
      <c r="F93" s="503"/>
      <c r="G93" s="503"/>
      <c r="H93" s="504"/>
    </row>
    <row r="94" spans="1:8" ht="30" x14ac:dyDescent="0.2">
      <c r="A94" s="117" t="s">
        <v>695</v>
      </c>
      <c r="B94" s="117" t="s">
        <v>734</v>
      </c>
      <c r="C94" s="511" t="s">
        <v>697</v>
      </c>
      <c r="D94" s="445" t="s">
        <v>722</v>
      </c>
      <c r="E94" s="117" t="s">
        <v>730</v>
      </c>
      <c r="F94" s="505" t="s">
        <v>972</v>
      </c>
      <c r="G94" s="514">
        <v>60</v>
      </c>
      <c r="H94" s="515">
        <v>60</v>
      </c>
    </row>
    <row r="95" spans="1:8" ht="30" x14ac:dyDescent="0.2">
      <c r="A95" s="117" t="s">
        <v>724</v>
      </c>
      <c r="B95" s="117" t="s">
        <v>540</v>
      </c>
      <c r="C95" s="510" t="s">
        <v>541</v>
      </c>
      <c r="D95" s="445" t="s">
        <v>722</v>
      </c>
      <c r="E95" s="117" t="s">
        <v>730</v>
      </c>
      <c r="F95" s="420" t="s">
        <v>972</v>
      </c>
      <c r="G95" s="515">
        <v>60</v>
      </c>
      <c r="H95" s="515">
        <v>60</v>
      </c>
    </row>
    <row r="96" spans="1:8" ht="30" x14ac:dyDescent="0.3">
      <c r="A96" s="117" t="s">
        <v>727</v>
      </c>
      <c r="B96" s="117" t="s">
        <v>740</v>
      </c>
      <c r="C96" s="512" t="s">
        <v>715</v>
      </c>
      <c r="D96" s="445" t="s">
        <v>722</v>
      </c>
      <c r="E96" s="117" t="s">
        <v>730</v>
      </c>
      <c r="F96" s="420" t="s">
        <v>972</v>
      </c>
      <c r="G96" s="515">
        <v>60</v>
      </c>
      <c r="H96" s="515">
        <v>60</v>
      </c>
    </row>
    <row r="97" spans="1:8" ht="30" x14ac:dyDescent="0.2">
      <c r="A97" s="117" t="s">
        <v>700</v>
      </c>
      <c r="B97" s="117" t="s">
        <v>537</v>
      </c>
      <c r="C97" s="510" t="s">
        <v>538</v>
      </c>
      <c r="D97" s="445" t="s">
        <v>722</v>
      </c>
      <c r="E97" s="117" t="s">
        <v>730</v>
      </c>
      <c r="F97" s="420" t="s">
        <v>972</v>
      </c>
      <c r="G97" s="515">
        <v>60</v>
      </c>
      <c r="H97" s="515">
        <v>60</v>
      </c>
    </row>
    <row r="98" spans="1:8" ht="30" x14ac:dyDescent="0.2">
      <c r="A98" s="117" t="s">
        <v>575</v>
      </c>
      <c r="B98" s="117" t="s">
        <v>576</v>
      </c>
      <c r="C98" s="510" t="s">
        <v>577</v>
      </c>
      <c r="D98" s="445" t="s">
        <v>722</v>
      </c>
      <c r="E98" s="117" t="s">
        <v>730</v>
      </c>
      <c r="F98" s="420" t="s">
        <v>972</v>
      </c>
      <c r="G98" s="515">
        <v>60</v>
      </c>
      <c r="H98" s="515">
        <v>60</v>
      </c>
    </row>
    <row r="99" spans="1:8" ht="45" x14ac:dyDescent="0.2">
      <c r="A99" s="117" t="s">
        <v>724</v>
      </c>
      <c r="B99" s="117" t="s">
        <v>540</v>
      </c>
      <c r="C99" s="510" t="s">
        <v>541</v>
      </c>
      <c r="D99" s="445" t="s">
        <v>722</v>
      </c>
      <c r="E99" s="117" t="s">
        <v>735</v>
      </c>
      <c r="F99" s="420" t="s">
        <v>973</v>
      </c>
      <c r="G99" s="515">
        <v>45</v>
      </c>
      <c r="H99" s="515">
        <v>45</v>
      </c>
    </row>
    <row r="100" spans="1:8" ht="45" x14ac:dyDescent="0.3">
      <c r="A100" s="117" t="s">
        <v>727</v>
      </c>
      <c r="B100" s="117" t="s">
        <v>740</v>
      </c>
      <c r="C100" s="512" t="s">
        <v>715</v>
      </c>
      <c r="D100" s="445" t="s">
        <v>722</v>
      </c>
      <c r="E100" s="117" t="s">
        <v>735</v>
      </c>
      <c r="F100" s="420" t="s">
        <v>973</v>
      </c>
      <c r="G100" s="515">
        <v>45</v>
      </c>
      <c r="H100" s="515">
        <v>45</v>
      </c>
    </row>
    <row r="101" spans="1:8" ht="45" x14ac:dyDescent="0.2">
      <c r="A101" s="117" t="s">
        <v>700</v>
      </c>
      <c r="B101" s="117" t="s">
        <v>537</v>
      </c>
      <c r="C101" s="510" t="s">
        <v>538</v>
      </c>
      <c r="D101" s="445" t="s">
        <v>722</v>
      </c>
      <c r="E101" s="117" t="s">
        <v>735</v>
      </c>
      <c r="F101" s="420" t="s">
        <v>973</v>
      </c>
      <c r="G101" s="515">
        <v>45</v>
      </c>
      <c r="H101" s="515">
        <v>45</v>
      </c>
    </row>
    <row r="102" spans="1:8" ht="45" x14ac:dyDescent="0.2">
      <c r="A102" s="117" t="s">
        <v>575</v>
      </c>
      <c r="B102" s="117" t="s">
        <v>576</v>
      </c>
      <c r="C102" s="510" t="s">
        <v>577</v>
      </c>
      <c r="D102" s="445" t="s">
        <v>722</v>
      </c>
      <c r="E102" s="117" t="s">
        <v>735</v>
      </c>
      <c r="F102" s="420" t="s">
        <v>973</v>
      </c>
      <c r="G102" s="515">
        <v>45</v>
      </c>
      <c r="H102" s="515">
        <v>45</v>
      </c>
    </row>
    <row r="103" spans="1:8" ht="30" x14ac:dyDescent="0.2">
      <c r="A103" s="117" t="s">
        <v>724</v>
      </c>
      <c r="B103" s="117" t="s">
        <v>540</v>
      </c>
      <c r="C103" s="510" t="s">
        <v>541</v>
      </c>
      <c r="D103" s="445" t="s">
        <v>722</v>
      </c>
      <c r="E103" s="117" t="s">
        <v>737</v>
      </c>
      <c r="F103" s="420" t="s">
        <v>974</v>
      </c>
      <c r="G103" s="515">
        <v>45</v>
      </c>
      <c r="H103" s="515">
        <v>45</v>
      </c>
    </row>
    <row r="104" spans="1:8" ht="30" x14ac:dyDescent="0.3">
      <c r="A104" s="117" t="s">
        <v>727</v>
      </c>
      <c r="B104" s="117" t="s">
        <v>740</v>
      </c>
      <c r="C104" s="512" t="s">
        <v>715</v>
      </c>
      <c r="D104" s="445" t="s">
        <v>722</v>
      </c>
      <c r="E104" s="117" t="s">
        <v>737</v>
      </c>
      <c r="F104" s="420" t="s">
        <v>974</v>
      </c>
      <c r="G104" s="515">
        <v>45</v>
      </c>
      <c r="H104" s="515">
        <v>45</v>
      </c>
    </row>
    <row r="105" spans="1:8" ht="30" x14ac:dyDescent="0.2">
      <c r="A105" s="117" t="s">
        <v>700</v>
      </c>
      <c r="B105" s="117" t="s">
        <v>537</v>
      </c>
      <c r="C105" s="510" t="s">
        <v>538</v>
      </c>
      <c r="D105" s="445" t="s">
        <v>722</v>
      </c>
      <c r="E105" s="117" t="s">
        <v>737</v>
      </c>
      <c r="F105" s="420" t="s">
        <v>974</v>
      </c>
      <c r="G105" s="515">
        <v>45</v>
      </c>
      <c r="H105" s="515">
        <v>45</v>
      </c>
    </row>
    <row r="106" spans="1:8" ht="30" x14ac:dyDescent="0.2">
      <c r="A106" s="117" t="s">
        <v>575</v>
      </c>
      <c r="B106" s="117" t="s">
        <v>576</v>
      </c>
      <c r="C106" s="510" t="s">
        <v>577</v>
      </c>
      <c r="D106" s="445" t="s">
        <v>722</v>
      </c>
      <c r="E106" s="117" t="s">
        <v>737</v>
      </c>
      <c r="F106" s="420" t="s">
        <v>974</v>
      </c>
      <c r="G106" s="515">
        <v>45</v>
      </c>
      <c r="H106" s="515">
        <v>45</v>
      </c>
    </row>
    <row r="107" spans="1:8" ht="30" x14ac:dyDescent="0.3">
      <c r="A107" s="505" t="s">
        <v>943</v>
      </c>
      <c r="B107" s="505" t="s">
        <v>703</v>
      </c>
      <c r="C107" s="512" t="s">
        <v>704</v>
      </c>
      <c r="D107" s="445" t="s">
        <v>722</v>
      </c>
      <c r="E107" s="117" t="s">
        <v>737</v>
      </c>
      <c r="F107" s="420" t="s">
        <v>974</v>
      </c>
      <c r="G107" s="515">
        <v>45</v>
      </c>
      <c r="H107" s="515">
        <v>45</v>
      </c>
    </row>
    <row r="108" spans="1:8" ht="30" x14ac:dyDescent="0.2">
      <c r="A108" s="117" t="s">
        <v>724</v>
      </c>
      <c r="B108" s="117" t="s">
        <v>540</v>
      </c>
      <c r="C108" s="510" t="s">
        <v>541</v>
      </c>
      <c r="D108" s="445" t="s">
        <v>722</v>
      </c>
      <c r="E108" s="117" t="s">
        <v>744</v>
      </c>
      <c r="F108" s="420" t="s">
        <v>975</v>
      </c>
      <c r="G108" s="515">
        <v>160</v>
      </c>
      <c r="H108" s="515">
        <v>160</v>
      </c>
    </row>
    <row r="109" spans="1:8" ht="30" x14ac:dyDescent="0.3">
      <c r="A109" s="117" t="s">
        <v>727</v>
      </c>
      <c r="B109" s="117" t="s">
        <v>740</v>
      </c>
      <c r="C109" s="512" t="s">
        <v>715</v>
      </c>
      <c r="D109" s="445" t="s">
        <v>722</v>
      </c>
      <c r="E109" s="117" t="s">
        <v>744</v>
      </c>
      <c r="F109" s="420" t="s">
        <v>975</v>
      </c>
      <c r="G109" s="515">
        <v>60</v>
      </c>
      <c r="H109" s="515">
        <v>60</v>
      </c>
    </row>
    <row r="110" spans="1:8" ht="30" x14ac:dyDescent="0.2">
      <c r="A110" s="117" t="s">
        <v>700</v>
      </c>
      <c r="B110" s="117" t="s">
        <v>537</v>
      </c>
      <c r="C110" s="510" t="s">
        <v>538</v>
      </c>
      <c r="D110" s="445" t="s">
        <v>722</v>
      </c>
      <c r="E110" s="117" t="s">
        <v>744</v>
      </c>
      <c r="F110" s="420" t="s">
        <v>975</v>
      </c>
      <c r="G110" s="515">
        <v>60</v>
      </c>
      <c r="H110" s="515">
        <v>60</v>
      </c>
    </row>
    <row r="111" spans="1:8" ht="30" x14ac:dyDescent="0.2">
      <c r="A111" s="117" t="s">
        <v>575</v>
      </c>
      <c r="B111" s="117" t="s">
        <v>576</v>
      </c>
      <c r="C111" s="510" t="s">
        <v>577</v>
      </c>
      <c r="D111" s="445" t="s">
        <v>722</v>
      </c>
      <c r="E111" s="117" t="s">
        <v>744</v>
      </c>
      <c r="F111" s="420" t="s">
        <v>975</v>
      </c>
      <c r="G111" s="515">
        <v>60</v>
      </c>
      <c r="H111" s="515">
        <v>60</v>
      </c>
    </row>
    <row r="112" spans="1:8" ht="30" x14ac:dyDescent="0.3">
      <c r="A112" s="505" t="s">
        <v>943</v>
      </c>
      <c r="B112" s="505" t="s">
        <v>703</v>
      </c>
      <c r="C112" s="512" t="s">
        <v>704</v>
      </c>
      <c r="D112" s="445" t="s">
        <v>722</v>
      </c>
      <c r="E112" s="117" t="s">
        <v>744</v>
      </c>
      <c r="F112" s="420" t="s">
        <v>975</v>
      </c>
      <c r="G112" s="515">
        <v>60</v>
      </c>
      <c r="H112" s="515">
        <v>60</v>
      </c>
    </row>
    <row r="113" spans="1:8" ht="45" x14ac:dyDescent="0.2">
      <c r="A113" s="117" t="s">
        <v>724</v>
      </c>
      <c r="B113" s="117" t="s">
        <v>540</v>
      </c>
      <c r="C113" s="510" t="s">
        <v>541</v>
      </c>
      <c r="D113" s="445" t="s">
        <v>722</v>
      </c>
      <c r="E113" s="117" t="s">
        <v>739</v>
      </c>
      <c r="F113" s="420" t="s">
        <v>976</v>
      </c>
      <c r="G113" s="515">
        <v>75</v>
      </c>
      <c r="H113" s="515">
        <v>75</v>
      </c>
    </row>
    <row r="114" spans="1:8" ht="45" x14ac:dyDescent="0.3">
      <c r="A114" s="117" t="s">
        <v>727</v>
      </c>
      <c r="B114" s="117" t="s">
        <v>740</v>
      </c>
      <c r="C114" s="512" t="s">
        <v>715</v>
      </c>
      <c r="D114" s="445" t="s">
        <v>722</v>
      </c>
      <c r="E114" s="117" t="s">
        <v>739</v>
      </c>
      <c r="F114" s="420" t="s">
        <v>976</v>
      </c>
      <c r="G114" s="515">
        <v>75</v>
      </c>
      <c r="H114" s="515">
        <v>75</v>
      </c>
    </row>
    <row r="115" spans="1:8" ht="45" x14ac:dyDescent="0.2">
      <c r="A115" s="117" t="s">
        <v>700</v>
      </c>
      <c r="B115" s="117" t="s">
        <v>537</v>
      </c>
      <c r="C115" s="510" t="s">
        <v>538</v>
      </c>
      <c r="D115" s="445" t="s">
        <v>722</v>
      </c>
      <c r="E115" s="117" t="s">
        <v>739</v>
      </c>
      <c r="F115" s="420" t="s">
        <v>976</v>
      </c>
      <c r="G115" s="515">
        <v>75</v>
      </c>
      <c r="H115" s="515">
        <v>75</v>
      </c>
    </row>
    <row r="116" spans="1:8" ht="45" x14ac:dyDescent="0.2">
      <c r="A116" s="117" t="s">
        <v>575</v>
      </c>
      <c r="B116" s="117" t="s">
        <v>576</v>
      </c>
      <c r="C116" s="510" t="s">
        <v>577</v>
      </c>
      <c r="D116" s="445" t="s">
        <v>722</v>
      </c>
      <c r="E116" s="117" t="s">
        <v>739</v>
      </c>
      <c r="F116" s="420" t="s">
        <v>976</v>
      </c>
      <c r="G116" s="515">
        <v>125</v>
      </c>
      <c r="H116" s="515">
        <v>125</v>
      </c>
    </row>
    <row r="117" spans="1:8" ht="30" x14ac:dyDescent="0.2">
      <c r="A117" s="117" t="s">
        <v>724</v>
      </c>
      <c r="B117" s="117" t="s">
        <v>540</v>
      </c>
      <c r="C117" s="510" t="s">
        <v>541</v>
      </c>
      <c r="D117" s="445" t="s">
        <v>722</v>
      </c>
      <c r="E117" s="117" t="s">
        <v>728</v>
      </c>
      <c r="F117" s="420" t="s">
        <v>977</v>
      </c>
      <c r="G117" s="515">
        <v>90</v>
      </c>
      <c r="H117" s="515">
        <v>90</v>
      </c>
    </row>
    <row r="118" spans="1:8" ht="30" x14ac:dyDescent="0.3">
      <c r="A118" s="117" t="s">
        <v>727</v>
      </c>
      <c r="B118" s="117" t="s">
        <v>740</v>
      </c>
      <c r="C118" s="512" t="s">
        <v>715</v>
      </c>
      <c r="D118" s="445" t="s">
        <v>722</v>
      </c>
      <c r="E118" s="117" t="s">
        <v>728</v>
      </c>
      <c r="F118" s="420" t="s">
        <v>977</v>
      </c>
      <c r="G118" s="515">
        <v>45</v>
      </c>
      <c r="H118" s="515">
        <v>45</v>
      </c>
    </row>
    <row r="119" spans="1:8" ht="30" x14ac:dyDescent="0.2">
      <c r="A119" s="117" t="s">
        <v>700</v>
      </c>
      <c r="B119" s="117" t="s">
        <v>537</v>
      </c>
      <c r="C119" s="510" t="s">
        <v>538</v>
      </c>
      <c r="D119" s="445" t="s">
        <v>722</v>
      </c>
      <c r="E119" s="117" t="s">
        <v>728</v>
      </c>
      <c r="F119" s="420" t="s">
        <v>977</v>
      </c>
      <c r="G119" s="515">
        <v>45</v>
      </c>
      <c r="H119" s="515">
        <v>45</v>
      </c>
    </row>
    <row r="120" spans="1:8" ht="30" x14ac:dyDescent="0.2">
      <c r="A120" s="117" t="s">
        <v>575</v>
      </c>
      <c r="B120" s="117" t="s">
        <v>576</v>
      </c>
      <c r="C120" s="510" t="s">
        <v>577</v>
      </c>
      <c r="D120" s="445" t="s">
        <v>722</v>
      </c>
      <c r="E120" s="117" t="s">
        <v>728</v>
      </c>
      <c r="F120" s="420" t="s">
        <v>977</v>
      </c>
      <c r="G120" s="515">
        <v>45</v>
      </c>
      <c r="H120" s="515">
        <v>45</v>
      </c>
    </row>
    <row r="121" spans="1:8" ht="30" x14ac:dyDescent="0.3">
      <c r="A121" s="505" t="s">
        <v>943</v>
      </c>
      <c r="B121" s="505" t="s">
        <v>703</v>
      </c>
      <c r="C121" s="512" t="s">
        <v>704</v>
      </c>
      <c r="D121" s="445" t="s">
        <v>722</v>
      </c>
      <c r="E121" s="117" t="s">
        <v>728</v>
      </c>
      <c r="F121" s="420" t="s">
        <v>977</v>
      </c>
      <c r="G121" s="516">
        <v>45</v>
      </c>
      <c r="H121" s="516">
        <v>45</v>
      </c>
    </row>
    <row r="122" spans="1:8" ht="15" x14ac:dyDescent="0.2">
      <c r="A122" s="503"/>
      <c r="B122" s="503"/>
      <c r="C122" s="503"/>
      <c r="D122" s="445"/>
      <c r="F122" s="520"/>
      <c r="G122" s="515"/>
      <c r="H122" s="516"/>
    </row>
    <row r="123" spans="1:8" ht="30" x14ac:dyDescent="0.2">
      <c r="A123" s="117" t="s">
        <v>724</v>
      </c>
      <c r="B123" s="117" t="s">
        <v>540</v>
      </c>
      <c r="C123" s="510" t="s">
        <v>541</v>
      </c>
      <c r="D123" s="445" t="s">
        <v>722</v>
      </c>
      <c r="E123" s="117" t="s">
        <v>730</v>
      </c>
      <c r="F123" s="420" t="s">
        <v>978</v>
      </c>
      <c r="G123" s="515">
        <v>60</v>
      </c>
      <c r="H123" s="515">
        <v>60</v>
      </c>
    </row>
    <row r="124" spans="1:8" ht="30" x14ac:dyDescent="0.3">
      <c r="A124" s="117" t="s">
        <v>727</v>
      </c>
      <c r="B124" s="117" t="s">
        <v>740</v>
      </c>
      <c r="C124" s="512" t="s">
        <v>715</v>
      </c>
      <c r="D124" s="445" t="s">
        <v>722</v>
      </c>
      <c r="E124" s="117" t="s">
        <v>730</v>
      </c>
      <c r="F124" s="420" t="s">
        <v>978</v>
      </c>
      <c r="G124" s="515">
        <v>60</v>
      </c>
      <c r="H124" s="515">
        <v>60</v>
      </c>
    </row>
    <row r="125" spans="1:8" ht="30" x14ac:dyDescent="0.2">
      <c r="A125" s="117" t="s">
        <v>700</v>
      </c>
      <c r="B125" s="117" t="s">
        <v>537</v>
      </c>
      <c r="C125" s="510" t="s">
        <v>538</v>
      </c>
      <c r="D125" s="445" t="s">
        <v>722</v>
      </c>
      <c r="E125" s="117" t="s">
        <v>730</v>
      </c>
      <c r="F125" s="420" t="s">
        <v>978</v>
      </c>
      <c r="G125" s="515">
        <v>60</v>
      </c>
      <c r="H125" s="515">
        <v>60</v>
      </c>
    </row>
    <row r="126" spans="1:8" ht="30" x14ac:dyDescent="0.2">
      <c r="A126" s="117" t="s">
        <v>575</v>
      </c>
      <c r="B126" s="117" t="s">
        <v>576</v>
      </c>
      <c r="C126" s="510" t="s">
        <v>577</v>
      </c>
      <c r="D126" s="445" t="s">
        <v>722</v>
      </c>
      <c r="E126" s="117" t="s">
        <v>730</v>
      </c>
      <c r="F126" s="420" t="s">
        <v>978</v>
      </c>
      <c r="G126" s="515">
        <v>60</v>
      </c>
      <c r="H126" s="515">
        <v>60</v>
      </c>
    </row>
    <row r="127" spans="1:8" ht="30" x14ac:dyDescent="0.3">
      <c r="A127" s="505" t="s">
        <v>943</v>
      </c>
      <c r="B127" s="505" t="s">
        <v>703</v>
      </c>
      <c r="C127" s="512" t="s">
        <v>704</v>
      </c>
      <c r="D127" s="445" t="s">
        <v>722</v>
      </c>
      <c r="E127" s="117" t="s">
        <v>730</v>
      </c>
      <c r="F127" s="420" t="s">
        <v>978</v>
      </c>
      <c r="G127" s="515">
        <v>60</v>
      </c>
      <c r="H127" s="515">
        <v>60</v>
      </c>
    </row>
    <row r="128" spans="1:8" ht="30" x14ac:dyDescent="0.2">
      <c r="A128" s="117" t="s">
        <v>724</v>
      </c>
      <c r="B128" s="117" t="s">
        <v>540</v>
      </c>
      <c r="C128" s="510" t="s">
        <v>541</v>
      </c>
      <c r="D128" s="445" t="s">
        <v>722</v>
      </c>
      <c r="E128" s="117" t="s">
        <v>728</v>
      </c>
      <c r="F128" s="420" t="s">
        <v>979</v>
      </c>
      <c r="G128" s="515">
        <v>45</v>
      </c>
      <c r="H128" s="515">
        <v>45</v>
      </c>
    </row>
    <row r="129" spans="1:8" ht="30" x14ac:dyDescent="0.2">
      <c r="A129" s="117" t="s">
        <v>575</v>
      </c>
      <c r="B129" s="117" t="s">
        <v>576</v>
      </c>
      <c r="C129" s="510" t="s">
        <v>577</v>
      </c>
      <c r="D129" s="445" t="s">
        <v>722</v>
      </c>
      <c r="E129" s="117" t="s">
        <v>728</v>
      </c>
      <c r="F129" s="420" t="s">
        <v>979</v>
      </c>
      <c r="G129" s="515">
        <v>45</v>
      </c>
      <c r="H129" s="515">
        <v>45</v>
      </c>
    </row>
    <row r="130" spans="1:8" ht="30" x14ac:dyDescent="0.2">
      <c r="A130" s="117" t="s">
        <v>700</v>
      </c>
      <c r="B130" s="117" t="s">
        <v>537</v>
      </c>
      <c r="C130" s="510" t="s">
        <v>538</v>
      </c>
      <c r="D130" s="445" t="s">
        <v>722</v>
      </c>
      <c r="E130" s="117" t="s">
        <v>728</v>
      </c>
      <c r="F130" s="420" t="s">
        <v>979</v>
      </c>
      <c r="G130" s="515">
        <v>45</v>
      </c>
      <c r="H130" s="515">
        <v>45</v>
      </c>
    </row>
    <row r="131" spans="1:8" ht="30" x14ac:dyDescent="0.2">
      <c r="A131" s="117" t="s">
        <v>695</v>
      </c>
      <c r="B131" s="117" t="s">
        <v>734</v>
      </c>
      <c r="C131" s="511" t="s">
        <v>697</v>
      </c>
      <c r="D131" s="445" t="s">
        <v>722</v>
      </c>
      <c r="E131" s="117" t="s">
        <v>728</v>
      </c>
      <c r="F131" s="420" t="s">
        <v>979</v>
      </c>
      <c r="G131" s="515">
        <v>45</v>
      </c>
      <c r="H131" s="515">
        <v>45</v>
      </c>
    </row>
    <row r="132" spans="1:8" ht="45" x14ac:dyDescent="0.2">
      <c r="A132" s="117" t="s">
        <v>695</v>
      </c>
      <c r="B132" s="117" t="s">
        <v>734</v>
      </c>
      <c r="C132" s="511" t="s">
        <v>697</v>
      </c>
      <c r="D132" s="445" t="s">
        <v>722</v>
      </c>
      <c r="E132" s="117" t="s">
        <v>739</v>
      </c>
      <c r="F132" s="420" t="s">
        <v>980</v>
      </c>
      <c r="G132" s="515">
        <v>75</v>
      </c>
      <c r="H132" s="515">
        <v>75</v>
      </c>
    </row>
    <row r="133" spans="1:8" ht="45" x14ac:dyDescent="0.2">
      <c r="A133" s="117" t="s">
        <v>575</v>
      </c>
      <c r="B133" s="117" t="s">
        <v>576</v>
      </c>
      <c r="C133" s="510" t="s">
        <v>577</v>
      </c>
      <c r="D133" s="445" t="s">
        <v>722</v>
      </c>
      <c r="E133" s="117" t="s">
        <v>739</v>
      </c>
      <c r="F133" s="420" t="s">
        <v>980</v>
      </c>
      <c r="G133" s="515">
        <v>75</v>
      </c>
      <c r="H133" s="515">
        <v>75</v>
      </c>
    </row>
    <row r="134" spans="1:8" ht="45" x14ac:dyDescent="0.2">
      <c r="A134" s="117" t="s">
        <v>724</v>
      </c>
      <c r="B134" s="117" t="s">
        <v>540</v>
      </c>
      <c r="C134" s="510" t="s">
        <v>541</v>
      </c>
      <c r="D134" s="445" t="s">
        <v>722</v>
      </c>
      <c r="E134" s="117" t="s">
        <v>739</v>
      </c>
      <c r="F134" s="420" t="s">
        <v>980</v>
      </c>
      <c r="G134" s="515">
        <v>75</v>
      </c>
      <c r="H134" s="515">
        <v>75</v>
      </c>
    </row>
    <row r="135" spans="1:8" ht="45" x14ac:dyDescent="0.2">
      <c r="A135" s="117" t="s">
        <v>700</v>
      </c>
      <c r="B135" s="117" t="s">
        <v>537</v>
      </c>
      <c r="C135" s="510" t="s">
        <v>538</v>
      </c>
      <c r="D135" s="445" t="s">
        <v>722</v>
      </c>
      <c r="E135" s="117" t="s">
        <v>739</v>
      </c>
      <c r="F135" s="420" t="s">
        <v>980</v>
      </c>
      <c r="G135" s="515">
        <v>75</v>
      </c>
      <c r="H135" s="515">
        <v>75</v>
      </c>
    </row>
    <row r="136" spans="1:8" ht="30" x14ac:dyDescent="0.2">
      <c r="A136" s="117" t="s">
        <v>575</v>
      </c>
      <c r="B136" s="117" t="s">
        <v>576</v>
      </c>
      <c r="C136" s="510" t="s">
        <v>577</v>
      </c>
      <c r="D136" s="445" t="s">
        <v>722</v>
      </c>
      <c r="E136" s="117" t="s">
        <v>723</v>
      </c>
      <c r="F136" s="420" t="s">
        <v>944</v>
      </c>
      <c r="G136" s="515">
        <v>30</v>
      </c>
      <c r="H136" s="515">
        <v>30</v>
      </c>
    </row>
    <row r="137" spans="1:8" ht="30" x14ac:dyDescent="0.2">
      <c r="A137" s="117" t="s">
        <v>724</v>
      </c>
      <c r="B137" s="117" t="s">
        <v>540</v>
      </c>
      <c r="C137" s="510" t="s">
        <v>541</v>
      </c>
      <c r="D137" s="445" t="s">
        <v>722</v>
      </c>
      <c r="E137" s="117" t="s">
        <v>723</v>
      </c>
      <c r="F137" s="420" t="s">
        <v>944</v>
      </c>
      <c r="G137" s="515">
        <v>30</v>
      </c>
      <c r="H137" s="515">
        <v>30</v>
      </c>
    </row>
    <row r="138" spans="1:8" ht="30" x14ac:dyDescent="0.2">
      <c r="A138" s="117" t="s">
        <v>700</v>
      </c>
      <c r="B138" s="117" t="s">
        <v>537</v>
      </c>
      <c r="C138" s="510" t="s">
        <v>538</v>
      </c>
      <c r="D138" s="445" t="s">
        <v>722</v>
      </c>
      <c r="E138" s="117" t="s">
        <v>723</v>
      </c>
      <c r="F138" s="420" t="s">
        <v>944</v>
      </c>
      <c r="G138" s="515">
        <v>30</v>
      </c>
      <c r="H138" s="515">
        <v>30</v>
      </c>
    </row>
    <row r="139" spans="1:8" ht="30" x14ac:dyDescent="0.2">
      <c r="A139" s="117" t="s">
        <v>727</v>
      </c>
      <c r="B139" s="117" t="s">
        <v>740</v>
      </c>
      <c r="C139" s="503"/>
      <c r="D139" s="445" t="s">
        <v>722</v>
      </c>
      <c r="E139" s="117" t="s">
        <v>723</v>
      </c>
      <c r="F139" s="420" t="s">
        <v>944</v>
      </c>
      <c r="G139" s="515">
        <v>30</v>
      </c>
      <c r="H139" s="515">
        <v>30</v>
      </c>
    </row>
    <row r="140" spans="1:8" ht="30" x14ac:dyDescent="0.2">
      <c r="A140" s="117" t="s">
        <v>695</v>
      </c>
      <c r="B140" s="117" t="s">
        <v>734</v>
      </c>
      <c r="C140" s="511" t="s">
        <v>697</v>
      </c>
      <c r="D140" s="445" t="s">
        <v>722</v>
      </c>
      <c r="E140" s="117" t="s">
        <v>737</v>
      </c>
      <c r="F140" s="420" t="s">
        <v>945</v>
      </c>
      <c r="G140" s="515">
        <v>45</v>
      </c>
      <c r="H140" s="515">
        <v>45</v>
      </c>
    </row>
    <row r="141" spans="1:8" ht="30" x14ac:dyDescent="0.2">
      <c r="A141" s="117" t="s">
        <v>575</v>
      </c>
      <c r="B141" s="117" t="s">
        <v>576</v>
      </c>
      <c r="C141" s="510" t="s">
        <v>577</v>
      </c>
      <c r="D141" s="445" t="s">
        <v>722</v>
      </c>
      <c r="E141" s="117" t="s">
        <v>737</v>
      </c>
      <c r="F141" s="420" t="s">
        <v>945</v>
      </c>
      <c r="G141" s="515">
        <v>45</v>
      </c>
      <c r="H141" s="515">
        <v>45</v>
      </c>
    </row>
    <row r="142" spans="1:8" ht="30" x14ac:dyDescent="0.2">
      <c r="A142" s="117" t="s">
        <v>724</v>
      </c>
      <c r="B142" s="117" t="s">
        <v>540</v>
      </c>
      <c r="C142" s="510" t="s">
        <v>541</v>
      </c>
      <c r="D142" s="445" t="s">
        <v>722</v>
      </c>
      <c r="E142" s="117" t="s">
        <v>737</v>
      </c>
      <c r="F142" s="420" t="s">
        <v>945</v>
      </c>
      <c r="G142" s="515">
        <v>45</v>
      </c>
      <c r="H142" s="515">
        <v>45</v>
      </c>
    </row>
    <row r="143" spans="1:8" ht="30" x14ac:dyDescent="0.2">
      <c r="A143" s="117" t="s">
        <v>700</v>
      </c>
      <c r="B143" s="117" t="s">
        <v>537</v>
      </c>
      <c r="C143" s="510" t="s">
        <v>538</v>
      </c>
      <c r="D143" s="445" t="s">
        <v>722</v>
      </c>
      <c r="E143" s="117" t="s">
        <v>737</v>
      </c>
      <c r="F143" s="420" t="s">
        <v>945</v>
      </c>
      <c r="G143" s="515">
        <v>60</v>
      </c>
      <c r="H143" s="515">
        <v>60</v>
      </c>
    </row>
    <row r="144" spans="1:8" ht="30" x14ac:dyDescent="0.2">
      <c r="A144" s="117"/>
      <c r="B144" s="117"/>
      <c r="C144" s="503"/>
      <c r="D144" s="445" t="s">
        <v>722</v>
      </c>
      <c r="E144" s="503"/>
      <c r="F144" s="420"/>
      <c r="G144" s="515"/>
      <c r="H144" s="515"/>
    </row>
    <row r="145" spans="1:8" ht="15" x14ac:dyDescent="0.2">
      <c r="A145" s="117" t="s">
        <v>695</v>
      </c>
      <c r="B145" s="117" t="s">
        <v>734</v>
      </c>
      <c r="C145" s="511" t="s">
        <v>697</v>
      </c>
      <c r="D145" s="445"/>
      <c r="E145" s="505" t="s">
        <v>946</v>
      </c>
      <c r="F145" s="420" t="s">
        <v>947</v>
      </c>
      <c r="G145" s="515">
        <v>3095</v>
      </c>
      <c r="H145" s="515">
        <v>3095</v>
      </c>
    </row>
    <row r="146" spans="1:8" ht="45" x14ac:dyDescent="0.3">
      <c r="A146" s="446" t="s">
        <v>724</v>
      </c>
      <c r="B146" s="446" t="s">
        <v>540</v>
      </c>
      <c r="C146" s="510" t="s">
        <v>541</v>
      </c>
      <c r="D146" s="445" t="s">
        <v>722</v>
      </c>
      <c r="E146" s="117" t="s">
        <v>739</v>
      </c>
      <c r="F146" s="128" t="s">
        <v>741</v>
      </c>
      <c r="G146" s="518">
        <v>160</v>
      </c>
      <c r="H146" s="518">
        <v>160</v>
      </c>
    </row>
    <row r="147" spans="1:8" ht="45" x14ac:dyDescent="0.3">
      <c r="A147" s="129" t="s">
        <v>738</v>
      </c>
      <c r="B147" s="129" t="s">
        <v>576</v>
      </c>
      <c r="C147" s="510" t="s">
        <v>577</v>
      </c>
      <c r="D147" s="445" t="s">
        <v>722</v>
      </c>
      <c r="E147" s="117" t="s">
        <v>739</v>
      </c>
      <c r="F147" s="128" t="s">
        <v>741</v>
      </c>
      <c r="G147" s="518">
        <v>60</v>
      </c>
      <c r="H147" s="518">
        <v>60</v>
      </c>
    </row>
    <row r="148" spans="1:8" ht="45" x14ac:dyDescent="0.3">
      <c r="A148" s="129" t="s">
        <v>702</v>
      </c>
      <c r="B148" s="129" t="s">
        <v>703</v>
      </c>
      <c r="C148" s="512" t="s">
        <v>704</v>
      </c>
      <c r="D148" s="445" t="s">
        <v>722</v>
      </c>
      <c r="E148" s="117" t="s">
        <v>739</v>
      </c>
      <c r="F148" s="128" t="s">
        <v>741</v>
      </c>
      <c r="G148" s="518">
        <v>60</v>
      </c>
      <c r="H148" s="518">
        <v>60</v>
      </c>
    </row>
    <row r="149" spans="1:8" ht="45" x14ac:dyDescent="0.3">
      <c r="A149" s="447" t="s">
        <v>705</v>
      </c>
      <c r="B149" s="447" t="s">
        <v>706</v>
      </c>
      <c r="C149" s="510" t="s">
        <v>577</v>
      </c>
      <c r="D149" s="445" t="s">
        <v>722</v>
      </c>
      <c r="E149" s="117" t="s">
        <v>739</v>
      </c>
      <c r="F149" s="128" t="s">
        <v>741</v>
      </c>
      <c r="G149" s="518">
        <v>60</v>
      </c>
      <c r="H149" s="518">
        <v>60</v>
      </c>
    </row>
    <row r="150" spans="1:8" ht="45" x14ac:dyDescent="0.3">
      <c r="A150" s="129" t="s">
        <v>700</v>
      </c>
      <c r="B150" s="129" t="s">
        <v>537</v>
      </c>
      <c r="C150" s="510" t="s">
        <v>538</v>
      </c>
      <c r="D150" s="445" t="s">
        <v>722</v>
      </c>
      <c r="E150" s="117" t="s">
        <v>739</v>
      </c>
      <c r="F150" s="128" t="s">
        <v>741</v>
      </c>
      <c r="G150" s="518">
        <v>90</v>
      </c>
      <c r="H150" s="518">
        <v>90</v>
      </c>
    </row>
    <row r="151" spans="1:8" ht="30" x14ac:dyDescent="0.3">
      <c r="A151" s="129" t="s">
        <v>695</v>
      </c>
      <c r="B151" s="129" t="s">
        <v>696</v>
      </c>
      <c r="C151" s="511" t="s">
        <v>697</v>
      </c>
      <c r="D151" s="445" t="s">
        <v>722</v>
      </c>
      <c r="E151" s="117" t="s">
        <v>723</v>
      </c>
      <c r="F151" s="128" t="s">
        <v>742</v>
      </c>
      <c r="G151" s="518">
        <v>45</v>
      </c>
      <c r="H151" s="518">
        <v>45</v>
      </c>
    </row>
    <row r="152" spans="1:8" ht="30" x14ac:dyDescent="0.3">
      <c r="A152" s="129" t="s">
        <v>575</v>
      </c>
      <c r="B152" s="129" t="s">
        <v>576</v>
      </c>
      <c r="C152" s="129"/>
      <c r="D152" s="445" t="s">
        <v>722</v>
      </c>
      <c r="E152" s="117" t="s">
        <v>723</v>
      </c>
      <c r="F152" s="128" t="s">
        <v>742</v>
      </c>
      <c r="G152" s="518">
        <v>45</v>
      </c>
      <c r="H152" s="518">
        <v>45</v>
      </c>
    </row>
    <row r="153" spans="1:8" ht="30" x14ac:dyDescent="0.3">
      <c r="A153" s="129" t="s">
        <v>743</v>
      </c>
      <c r="B153" s="129" t="s">
        <v>540</v>
      </c>
      <c r="C153" s="510" t="s">
        <v>541</v>
      </c>
      <c r="D153" s="445" t="s">
        <v>722</v>
      </c>
      <c r="E153" s="117" t="s">
        <v>723</v>
      </c>
      <c r="F153" s="128" t="s">
        <v>742</v>
      </c>
      <c r="G153" s="518">
        <v>45</v>
      </c>
      <c r="H153" s="518">
        <v>45</v>
      </c>
    </row>
    <row r="154" spans="1:8" ht="30" x14ac:dyDescent="0.3">
      <c r="A154" s="129" t="s">
        <v>700</v>
      </c>
      <c r="B154" s="129" t="s">
        <v>537</v>
      </c>
      <c r="C154" s="129"/>
      <c r="D154" s="445" t="s">
        <v>722</v>
      </c>
      <c r="E154" s="117" t="s">
        <v>723</v>
      </c>
      <c r="F154" s="128" t="s">
        <v>742</v>
      </c>
      <c r="G154" s="518">
        <v>45</v>
      </c>
      <c r="H154" s="518">
        <v>45</v>
      </c>
    </row>
    <row r="155" spans="1:8" ht="30" x14ac:dyDescent="0.3">
      <c r="A155" s="129" t="s">
        <v>702</v>
      </c>
      <c r="B155" s="129" t="s">
        <v>703</v>
      </c>
      <c r="C155" s="512" t="s">
        <v>704</v>
      </c>
      <c r="D155" s="445" t="s">
        <v>722</v>
      </c>
      <c r="E155" s="117" t="s">
        <v>723</v>
      </c>
      <c r="F155" s="128" t="s">
        <v>742</v>
      </c>
      <c r="G155" s="518">
        <v>45</v>
      </c>
      <c r="H155" s="518">
        <v>45</v>
      </c>
    </row>
    <row r="156" spans="1:8" ht="30" x14ac:dyDescent="0.3">
      <c r="A156" s="129" t="s">
        <v>695</v>
      </c>
      <c r="B156" s="129" t="s">
        <v>696</v>
      </c>
      <c r="C156" s="511" t="s">
        <v>697</v>
      </c>
      <c r="D156" s="445" t="s">
        <v>722</v>
      </c>
      <c r="E156" s="117" t="s">
        <v>744</v>
      </c>
      <c r="F156" s="128" t="s">
        <v>948</v>
      </c>
      <c r="G156" s="518">
        <v>90</v>
      </c>
      <c r="H156" s="518">
        <v>90</v>
      </c>
    </row>
    <row r="157" spans="1:8" ht="30" x14ac:dyDescent="0.3">
      <c r="A157" s="129" t="s">
        <v>575</v>
      </c>
      <c r="B157" s="129" t="s">
        <v>576</v>
      </c>
      <c r="C157" s="510" t="s">
        <v>577</v>
      </c>
      <c r="D157" s="445" t="s">
        <v>722</v>
      </c>
      <c r="E157" s="117" t="s">
        <v>744</v>
      </c>
      <c r="F157" s="128" t="s">
        <v>948</v>
      </c>
      <c r="G157" s="518">
        <v>90</v>
      </c>
      <c r="H157" s="518">
        <v>90</v>
      </c>
    </row>
    <row r="158" spans="1:8" ht="30" x14ac:dyDescent="0.3">
      <c r="A158" s="129" t="s">
        <v>724</v>
      </c>
      <c r="B158" s="129" t="s">
        <v>540</v>
      </c>
      <c r="C158" s="510" t="s">
        <v>541</v>
      </c>
      <c r="D158" s="445" t="s">
        <v>722</v>
      </c>
      <c r="E158" s="117" t="s">
        <v>744</v>
      </c>
      <c r="F158" s="128" t="s">
        <v>948</v>
      </c>
      <c r="G158" s="518">
        <v>120</v>
      </c>
      <c r="H158" s="518">
        <v>120</v>
      </c>
    </row>
    <row r="159" spans="1:8" ht="30" x14ac:dyDescent="0.3">
      <c r="A159" s="129" t="s">
        <v>702</v>
      </c>
      <c r="B159" s="129" t="s">
        <v>703</v>
      </c>
      <c r="C159" s="512" t="s">
        <v>704</v>
      </c>
      <c r="D159" s="445" t="s">
        <v>722</v>
      </c>
      <c r="E159" s="117" t="s">
        <v>744</v>
      </c>
      <c r="F159" s="128" t="s">
        <v>948</v>
      </c>
      <c r="G159" s="518">
        <v>90</v>
      </c>
      <c r="H159" s="518">
        <v>90</v>
      </c>
    </row>
    <row r="160" spans="1:8" ht="45" x14ac:dyDescent="0.3">
      <c r="A160" s="129" t="s">
        <v>700</v>
      </c>
      <c r="B160" s="129" t="s">
        <v>537</v>
      </c>
      <c r="C160" s="510" t="s">
        <v>538</v>
      </c>
      <c r="D160" s="445" t="s">
        <v>722</v>
      </c>
      <c r="E160" s="117" t="s">
        <v>739</v>
      </c>
      <c r="F160" s="128" t="s">
        <v>948</v>
      </c>
      <c r="G160" s="518">
        <v>90</v>
      </c>
      <c r="H160" s="518">
        <v>90</v>
      </c>
    </row>
    <row r="161" spans="1:8" ht="45" x14ac:dyDescent="0.3">
      <c r="A161" s="129" t="s">
        <v>695</v>
      </c>
      <c r="B161" s="129" t="s">
        <v>696</v>
      </c>
      <c r="C161" s="511" t="s">
        <v>697</v>
      </c>
      <c r="D161" s="445" t="s">
        <v>722</v>
      </c>
      <c r="E161" s="117" t="s">
        <v>735</v>
      </c>
      <c r="F161" s="128" t="s">
        <v>949</v>
      </c>
      <c r="G161" s="518">
        <v>66</v>
      </c>
      <c r="H161" s="518">
        <v>66</v>
      </c>
    </row>
    <row r="162" spans="1:8" ht="45" x14ac:dyDescent="0.3">
      <c r="A162" s="129" t="s">
        <v>575</v>
      </c>
      <c r="B162" s="129" t="s">
        <v>576</v>
      </c>
      <c r="C162" s="510" t="s">
        <v>577</v>
      </c>
      <c r="D162" s="445" t="s">
        <v>722</v>
      </c>
      <c r="E162" s="117" t="s">
        <v>735</v>
      </c>
      <c r="F162" s="128" t="s">
        <v>745</v>
      </c>
      <c r="G162" s="518">
        <v>75</v>
      </c>
      <c r="H162" s="518">
        <v>75</v>
      </c>
    </row>
    <row r="163" spans="1:8" ht="45" x14ac:dyDescent="0.3">
      <c r="A163" s="129" t="s">
        <v>724</v>
      </c>
      <c r="B163" s="129" t="s">
        <v>540</v>
      </c>
      <c r="C163" s="510" t="s">
        <v>541</v>
      </c>
      <c r="D163" s="445" t="s">
        <v>722</v>
      </c>
      <c r="E163" s="117" t="s">
        <v>735</v>
      </c>
      <c r="F163" s="128" t="s">
        <v>745</v>
      </c>
      <c r="G163" s="518">
        <v>75</v>
      </c>
      <c r="H163" s="518">
        <v>75</v>
      </c>
    </row>
    <row r="164" spans="1:8" ht="45" x14ac:dyDescent="0.3">
      <c r="A164" s="129" t="s">
        <v>702</v>
      </c>
      <c r="B164" s="129" t="s">
        <v>703</v>
      </c>
      <c r="C164" s="512" t="s">
        <v>704</v>
      </c>
      <c r="D164" s="445" t="s">
        <v>722</v>
      </c>
      <c r="E164" s="117" t="s">
        <v>735</v>
      </c>
      <c r="F164" s="128" t="s">
        <v>745</v>
      </c>
      <c r="G164" s="518">
        <v>75</v>
      </c>
      <c r="H164" s="518">
        <v>75</v>
      </c>
    </row>
    <row r="165" spans="1:8" ht="45" x14ac:dyDescent="0.3">
      <c r="A165" s="129" t="s">
        <v>700</v>
      </c>
      <c r="B165" s="129" t="s">
        <v>537</v>
      </c>
      <c r="C165" s="510" t="s">
        <v>538</v>
      </c>
      <c r="D165" s="445" t="s">
        <v>722</v>
      </c>
      <c r="E165" s="117" t="s">
        <v>735</v>
      </c>
      <c r="F165" s="128" t="s">
        <v>745</v>
      </c>
      <c r="G165" s="518">
        <v>60</v>
      </c>
      <c r="H165" s="518">
        <v>60</v>
      </c>
    </row>
    <row r="166" spans="1:8" ht="30" x14ac:dyDescent="0.3">
      <c r="A166" s="129" t="s">
        <v>695</v>
      </c>
      <c r="B166" s="129" t="s">
        <v>696</v>
      </c>
      <c r="C166" s="511" t="s">
        <v>697</v>
      </c>
      <c r="D166" s="445" t="s">
        <v>722</v>
      </c>
      <c r="E166" s="117" t="s">
        <v>725</v>
      </c>
      <c r="F166" s="128" t="s">
        <v>746</v>
      </c>
      <c r="G166" s="518">
        <v>60</v>
      </c>
      <c r="H166" s="518">
        <v>60</v>
      </c>
    </row>
    <row r="167" spans="1:8" ht="30" x14ac:dyDescent="0.3">
      <c r="A167" s="129" t="s">
        <v>575</v>
      </c>
      <c r="B167" s="129" t="s">
        <v>576</v>
      </c>
      <c r="C167" s="129"/>
      <c r="D167" s="445" t="s">
        <v>722</v>
      </c>
      <c r="E167" s="117" t="s">
        <v>725</v>
      </c>
      <c r="F167" s="128" t="s">
        <v>746</v>
      </c>
      <c r="G167" s="518">
        <v>60</v>
      </c>
      <c r="H167" s="518">
        <v>60</v>
      </c>
    </row>
    <row r="168" spans="1:8" ht="30" x14ac:dyDescent="0.3">
      <c r="A168" s="129" t="s">
        <v>724</v>
      </c>
      <c r="B168" s="129" t="s">
        <v>540</v>
      </c>
      <c r="C168" s="510" t="s">
        <v>541</v>
      </c>
      <c r="D168" s="445" t="s">
        <v>722</v>
      </c>
      <c r="E168" s="117" t="s">
        <v>725</v>
      </c>
      <c r="F168" s="128" t="s">
        <v>746</v>
      </c>
      <c r="G168" s="518">
        <v>60</v>
      </c>
      <c r="H168" s="518">
        <v>60</v>
      </c>
    </row>
    <row r="169" spans="1:8" ht="30" x14ac:dyDescent="0.3">
      <c r="A169" s="129" t="s">
        <v>702</v>
      </c>
      <c r="B169" s="129" t="s">
        <v>703</v>
      </c>
      <c r="C169" s="512" t="s">
        <v>704</v>
      </c>
      <c r="D169" s="445" t="s">
        <v>722</v>
      </c>
      <c r="E169" s="117" t="s">
        <v>725</v>
      </c>
      <c r="F169" s="445" t="s">
        <v>746</v>
      </c>
      <c r="G169" s="518">
        <v>60</v>
      </c>
      <c r="H169" s="518">
        <v>60</v>
      </c>
    </row>
    <row r="170" spans="1:8" ht="30" x14ac:dyDescent="0.3">
      <c r="A170" s="129" t="s">
        <v>700</v>
      </c>
      <c r="B170" s="129" t="s">
        <v>537</v>
      </c>
      <c r="C170" s="129"/>
      <c r="D170" s="445" t="s">
        <v>722</v>
      </c>
      <c r="E170" s="117" t="s">
        <v>725</v>
      </c>
      <c r="F170" s="445" t="s">
        <v>746</v>
      </c>
      <c r="G170" s="518">
        <v>60</v>
      </c>
      <c r="H170" s="518">
        <v>60</v>
      </c>
    </row>
    <row r="171" spans="1:8" ht="30" x14ac:dyDescent="0.3">
      <c r="A171" s="129" t="s">
        <v>695</v>
      </c>
      <c r="B171" s="129" t="s">
        <v>696</v>
      </c>
      <c r="C171" s="511" t="s">
        <v>697</v>
      </c>
      <c r="D171" s="445" t="s">
        <v>722</v>
      </c>
      <c r="E171" s="117" t="s">
        <v>737</v>
      </c>
      <c r="F171" s="420" t="s">
        <v>951</v>
      </c>
      <c r="G171" s="519">
        <v>100</v>
      </c>
      <c r="H171" s="519">
        <v>100</v>
      </c>
    </row>
    <row r="172" spans="1:8" ht="30" x14ac:dyDescent="0.3">
      <c r="A172" s="129" t="s">
        <v>575</v>
      </c>
      <c r="B172" s="129" t="s">
        <v>576</v>
      </c>
      <c r="C172" s="510" t="s">
        <v>577</v>
      </c>
      <c r="D172" s="445" t="s">
        <v>722</v>
      </c>
      <c r="E172" s="117" t="s">
        <v>737</v>
      </c>
      <c r="F172" s="505" t="s">
        <v>951</v>
      </c>
      <c r="G172" s="519">
        <v>45</v>
      </c>
      <c r="H172" s="519">
        <v>45</v>
      </c>
    </row>
    <row r="173" spans="1:8" ht="30" x14ac:dyDescent="0.3">
      <c r="A173" s="129" t="s">
        <v>724</v>
      </c>
      <c r="B173" s="129" t="s">
        <v>540</v>
      </c>
      <c r="C173" s="510" t="s">
        <v>541</v>
      </c>
      <c r="D173" s="445" t="s">
        <v>722</v>
      </c>
      <c r="E173" s="117" t="s">
        <v>737</v>
      </c>
      <c r="F173" s="420" t="s">
        <v>951</v>
      </c>
      <c r="G173" s="519">
        <v>45</v>
      </c>
      <c r="H173" s="519">
        <v>45</v>
      </c>
    </row>
    <row r="174" spans="1:8" ht="30" x14ac:dyDescent="0.3">
      <c r="A174" s="129" t="s">
        <v>702</v>
      </c>
      <c r="B174" s="129" t="s">
        <v>703</v>
      </c>
      <c r="C174" s="512" t="s">
        <v>704</v>
      </c>
      <c r="D174" s="445" t="s">
        <v>722</v>
      </c>
      <c r="E174" s="117" t="s">
        <v>737</v>
      </c>
      <c r="F174" s="420" t="s">
        <v>951</v>
      </c>
      <c r="G174" s="519">
        <v>45</v>
      </c>
      <c r="H174" s="519">
        <v>45</v>
      </c>
    </row>
    <row r="175" spans="1:8" ht="30" x14ac:dyDescent="0.3">
      <c r="A175" s="129" t="s">
        <v>700</v>
      </c>
      <c r="B175" s="129" t="s">
        <v>537</v>
      </c>
      <c r="C175" s="510" t="s">
        <v>538</v>
      </c>
      <c r="D175" s="445" t="s">
        <v>722</v>
      </c>
      <c r="E175" s="117" t="s">
        <v>737</v>
      </c>
      <c r="F175" s="420" t="s">
        <v>951</v>
      </c>
      <c r="G175" s="519">
        <v>45</v>
      </c>
      <c r="H175" s="519">
        <v>45</v>
      </c>
    </row>
    <row r="176" spans="1:8" ht="30" x14ac:dyDescent="0.3">
      <c r="A176" s="129" t="s">
        <v>575</v>
      </c>
      <c r="B176" s="129" t="s">
        <v>576</v>
      </c>
      <c r="C176" s="510" t="s">
        <v>577</v>
      </c>
      <c r="D176" s="445" t="s">
        <v>722</v>
      </c>
      <c r="E176" s="117" t="s">
        <v>728</v>
      </c>
      <c r="F176" s="128" t="s">
        <v>747</v>
      </c>
      <c r="G176" s="518">
        <v>45</v>
      </c>
      <c r="H176" s="518">
        <v>45</v>
      </c>
    </row>
    <row r="177" spans="1:8" ht="30" x14ac:dyDescent="0.3">
      <c r="A177" s="129" t="s">
        <v>724</v>
      </c>
      <c r="B177" s="129" t="s">
        <v>540</v>
      </c>
      <c r="C177" s="510" t="s">
        <v>541</v>
      </c>
      <c r="D177" s="445" t="s">
        <v>722</v>
      </c>
      <c r="E177" s="117" t="s">
        <v>728</v>
      </c>
      <c r="F177" s="128" t="s">
        <v>747</v>
      </c>
      <c r="G177" s="518">
        <v>80</v>
      </c>
      <c r="H177" s="518">
        <v>80</v>
      </c>
    </row>
    <row r="178" spans="1:8" ht="30" x14ac:dyDescent="0.3">
      <c r="A178" s="129" t="s">
        <v>702</v>
      </c>
      <c r="B178" s="129" t="s">
        <v>703</v>
      </c>
      <c r="C178" s="512" t="s">
        <v>704</v>
      </c>
      <c r="D178" s="445" t="s">
        <v>722</v>
      </c>
      <c r="E178" s="117" t="s">
        <v>728</v>
      </c>
      <c r="F178" s="128" t="s">
        <v>747</v>
      </c>
      <c r="G178" s="518">
        <v>45</v>
      </c>
      <c r="H178" s="518">
        <v>45</v>
      </c>
    </row>
    <row r="179" spans="1:8" ht="30" x14ac:dyDescent="0.3">
      <c r="A179" s="129" t="s">
        <v>700</v>
      </c>
      <c r="B179" s="129" t="s">
        <v>537</v>
      </c>
      <c r="C179" s="510" t="s">
        <v>538</v>
      </c>
      <c r="D179" s="445" t="s">
        <v>722</v>
      </c>
      <c r="E179" s="117" t="s">
        <v>728</v>
      </c>
      <c r="F179" s="128" t="s">
        <v>747</v>
      </c>
      <c r="G179" s="518">
        <v>45</v>
      </c>
      <c r="H179" s="518">
        <v>45</v>
      </c>
    </row>
    <row r="180" spans="1:8" ht="45" x14ac:dyDescent="0.3">
      <c r="A180" s="446" t="s">
        <v>724</v>
      </c>
      <c r="B180" s="446" t="s">
        <v>540</v>
      </c>
      <c r="C180" s="510" t="s">
        <v>541</v>
      </c>
      <c r="D180" s="445" t="s">
        <v>722</v>
      </c>
      <c r="E180" s="117" t="s">
        <v>739</v>
      </c>
      <c r="F180" s="128" t="s">
        <v>741</v>
      </c>
      <c r="G180" s="518">
        <v>60</v>
      </c>
      <c r="H180" s="518">
        <v>60</v>
      </c>
    </row>
    <row r="181" spans="1:8" ht="45" x14ac:dyDescent="0.3">
      <c r="A181" s="129" t="s">
        <v>738</v>
      </c>
      <c r="B181" s="129" t="s">
        <v>576</v>
      </c>
      <c r="C181" s="510" t="s">
        <v>577</v>
      </c>
      <c r="D181" s="445" t="s">
        <v>722</v>
      </c>
      <c r="E181" s="117" t="s">
        <v>739</v>
      </c>
      <c r="F181" s="128" t="s">
        <v>741</v>
      </c>
      <c r="G181" s="518">
        <v>60</v>
      </c>
      <c r="H181" s="518">
        <v>60</v>
      </c>
    </row>
    <row r="182" spans="1:8" ht="45" x14ac:dyDescent="0.3">
      <c r="A182" s="129" t="s">
        <v>702</v>
      </c>
      <c r="B182" s="129" t="s">
        <v>703</v>
      </c>
      <c r="C182" s="512" t="s">
        <v>704</v>
      </c>
      <c r="D182" s="445" t="s">
        <v>722</v>
      </c>
      <c r="E182" s="117" t="s">
        <v>739</v>
      </c>
      <c r="F182" s="128" t="s">
        <v>952</v>
      </c>
      <c r="G182" s="518">
        <v>60</v>
      </c>
      <c r="H182" s="518">
        <v>60</v>
      </c>
    </row>
    <row r="183" spans="1:8" ht="45" x14ac:dyDescent="0.3">
      <c r="A183" s="447" t="s">
        <v>705</v>
      </c>
      <c r="B183" s="447" t="s">
        <v>706</v>
      </c>
      <c r="C183" s="512" t="s">
        <v>707</v>
      </c>
      <c r="D183" s="445" t="s">
        <v>722</v>
      </c>
      <c r="E183" s="117" t="s">
        <v>739</v>
      </c>
      <c r="F183" s="128" t="s">
        <v>952</v>
      </c>
      <c r="G183" s="518">
        <v>60</v>
      </c>
      <c r="H183" s="518">
        <v>60</v>
      </c>
    </row>
    <row r="184" spans="1:8" ht="45" x14ac:dyDescent="0.3">
      <c r="A184" s="129" t="s">
        <v>700</v>
      </c>
      <c r="B184" s="129" t="s">
        <v>537</v>
      </c>
      <c r="C184" s="510" t="s">
        <v>538</v>
      </c>
      <c r="D184" s="445" t="s">
        <v>722</v>
      </c>
      <c r="E184" s="117" t="s">
        <v>739</v>
      </c>
      <c r="F184" s="128" t="s">
        <v>952</v>
      </c>
      <c r="G184" s="518">
        <v>90</v>
      </c>
      <c r="H184" s="518">
        <v>90</v>
      </c>
    </row>
    <row r="185" spans="1:8" ht="30" x14ac:dyDescent="0.3">
      <c r="A185" s="129" t="s">
        <v>695</v>
      </c>
      <c r="B185" s="129" t="s">
        <v>696</v>
      </c>
      <c r="C185" s="511" t="s">
        <v>697</v>
      </c>
      <c r="D185" s="445" t="s">
        <v>722</v>
      </c>
      <c r="E185" s="117" t="s">
        <v>723</v>
      </c>
      <c r="F185" s="128" t="s">
        <v>953</v>
      </c>
      <c r="G185" s="518">
        <v>45</v>
      </c>
      <c r="H185" s="518">
        <v>45</v>
      </c>
    </row>
    <row r="186" spans="1:8" ht="30" x14ac:dyDescent="0.3">
      <c r="A186" s="129" t="s">
        <v>575</v>
      </c>
      <c r="B186" s="129" t="s">
        <v>576</v>
      </c>
      <c r="C186" s="129"/>
      <c r="D186" s="445" t="s">
        <v>722</v>
      </c>
      <c r="E186" s="117" t="s">
        <v>723</v>
      </c>
      <c r="F186" s="128" t="s">
        <v>953</v>
      </c>
      <c r="G186" s="518">
        <v>45</v>
      </c>
      <c r="H186" s="518">
        <v>45</v>
      </c>
    </row>
    <row r="187" spans="1:8" ht="30" x14ac:dyDescent="0.3">
      <c r="A187" s="129" t="s">
        <v>743</v>
      </c>
      <c r="B187" s="129" t="s">
        <v>540</v>
      </c>
      <c r="C187" s="510" t="s">
        <v>541</v>
      </c>
      <c r="D187" s="445" t="s">
        <v>722</v>
      </c>
      <c r="E187" s="117" t="s">
        <v>723</v>
      </c>
      <c r="F187" s="128" t="s">
        <v>953</v>
      </c>
      <c r="G187" s="518">
        <v>45</v>
      </c>
      <c r="H187" s="518">
        <v>45</v>
      </c>
    </row>
    <row r="188" spans="1:8" ht="30" x14ac:dyDescent="0.3">
      <c r="A188" s="129" t="s">
        <v>700</v>
      </c>
      <c r="B188" s="129" t="s">
        <v>537</v>
      </c>
      <c r="C188" s="510" t="s">
        <v>538</v>
      </c>
      <c r="D188" s="445" t="s">
        <v>722</v>
      </c>
      <c r="E188" s="117" t="s">
        <v>723</v>
      </c>
      <c r="F188" s="128" t="s">
        <v>953</v>
      </c>
      <c r="G188" s="518">
        <v>45</v>
      </c>
      <c r="H188" s="518">
        <v>45</v>
      </c>
    </row>
    <row r="189" spans="1:8" ht="30" x14ac:dyDescent="0.3">
      <c r="A189" s="129" t="s">
        <v>702</v>
      </c>
      <c r="B189" s="129" t="s">
        <v>703</v>
      </c>
      <c r="C189" s="512" t="s">
        <v>704</v>
      </c>
      <c r="D189" s="445" t="s">
        <v>722</v>
      </c>
      <c r="E189" s="117" t="s">
        <v>723</v>
      </c>
      <c r="F189" s="128" t="s">
        <v>953</v>
      </c>
      <c r="G189" s="518">
        <v>45</v>
      </c>
      <c r="H189" s="518">
        <v>45</v>
      </c>
    </row>
    <row r="190" spans="1:8" ht="30" x14ac:dyDescent="0.3">
      <c r="A190" s="129" t="s">
        <v>695</v>
      </c>
      <c r="B190" s="129" t="s">
        <v>696</v>
      </c>
      <c r="C190" s="511" t="s">
        <v>697</v>
      </c>
      <c r="D190" s="445" t="s">
        <v>722</v>
      </c>
      <c r="E190" s="117" t="s">
        <v>744</v>
      </c>
      <c r="F190" s="128" t="s">
        <v>954</v>
      </c>
      <c r="G190" s="518">
        <v>120</v>
      </c>
      <c r="H190" s="518">
        <v>120</v>
      </c>
    </row>
    <row r="191" spans="1:8" ht="30" x14ac:dyDescent="0.3">
      <c r="A191" s="129" t="s">
        <v>575</v>
      </c>
      <c r="B191" s="129" t="s">
        <v>576</v>
      </c>
      <c r="C191" s="510" t="s">
        <v>577</v>
      </c>
      <c r="D191" s="445" t="s">
        <v>722</v>
      </c>
      <c r="E191" s="117" t="s">
        <v>744</v>
      </c>
      <c r="F191" s="128" t="s">
        <v>954</v>
      </c>
      <c r="G191" s="518">
        <v>120</v>
      </c>
      <c r="H191" s="518">
        <v>120</v>
      </c>
    </row>
    <row r="192" spans="1:8" ht="30" x14ac:dyDescent="0.3">
      <c r="A192" s="129" t="s">
        <v>724</v>
      </c>
      <c r="B192" s="129" t="s">
        <v>540</v>
      </c>
      <c r="C192" s="510" t="s">
        <v>541</v>
      </c>
      <c r="D192" s="445" t="s">
        <v>722</v>
      </c>
      <c r="E192" s="117" t="s">
        <v>744</v>
      </c>
      <c r="F192" s="128" t="s">
        <v>954</v>
      </c>
      <c r="G192" s="518">
        <v>120</v>
      </c>
      <c r="H192" s="518">
        <v>120</v>
      </c>
    </row>
    <row r="193" spans="1:8" ht="30" x14ac:dyDescent="0.3">
      <c r="A193" s="129" t="s">
        <v>702</v>
      </c>
      <c r="B193" s="129" t="s">
        <v>703</v>
      </c>
      <c r="C193" s="512" t="s">
        <v>704</v>
      </c>
      <c r="D193" s="445" t="s">
        <v>722</v>
      </c>
      <c r="E193" s="117" t="s">
        <v>744</v>
      </c>
      <c r="F193" s="128" t="s">
        <v>954</v>
      </c>
      <c r="G193" s="518">
        <v>120</v>
      </c>
      <c r="H193" s="518">
        <v>120</v>
      </c>
    </row>
    <row r="194" spans="1:8" ht="45" x14ac:dyDescent="0.3">
      <c r="A194" s="129" t="s">
        <v>700</v>
      </c>
      <c r="B194" s="129" t="s">
        <v>537</v>
      </c>
      <c r="C194" s="510" t="s">
        <v>538</v>
      </c>
      <c r="D194" s="445" t="s">
        <v>722</v>
      </c>
      <c r="E194" s="117" t="s">
        <v>739</v>
      </c>
      <c r="F194" s="128" t="s">
        <v>954</v>
      </c>
      <c r="G194" s="518">
        <v>120</v>
      </c>
      <c r="H194" s="518">
        <v>120</v>
      </c>
    </row>
    <row r="195" spans="1:8" ht="45" x14ac:dyDescent="0.3">
      <c r="A195" s="129" t="s">
        <v>695</v>
      </c>
      <c r="B195" s="129" t="s">
        <v>696</v>
      </c>
      <c r="C195" s="511" t="s">
        <v>697</v>
      </c>
      <c r="D195" s="445" t="s">
        <v>722</v>
      </c>
      <c r="E195" s="117" t="s">
        <v>735</v>
      </c>
      <c r="F195" s="128" t="s">
        <v>955</v>
      </c>
      <c r="G195" s="518">
        <v>75</v>
      </c>
      <c r="H195" s="518">
        <v>75</v>
      </c>
    </row>
    <row r="196" spans="1:8" ht="45" x14ac:dyDescent="0.3">
      <c r="A196" s="129" t="s">
        <v>575</v>
      </c>
      <c r="B196" s="129" t="s">
        <v>576</v>
      </c>
      <c r="C196" s="510" t="s">
        <v>577</v>
      </c>
      <c r="D196" s="445" t="s">
        <v>722</v>
      </c>
      <c r="E196" s="117" t="s">
        <v>735</v>
      </c>
      <c r="F196" s="128" t="s">
        <v>956</v>
      </c>
      <c r="G196" s="518">
        <v>75</v>
      </c>
      <c r="H196" s="518">
        <v>75</v>
      </c>
    </row>
    <row r="197" spans="1:8" ht="45" x14ac:dyDescent="0.3">
      <c r="A197" s="129" t="s">
        <v>724</v>
      </c>
      <c r="B197" s="129" t="s">
        <v>540</v>
      </c>
      <c r="C197" s="510" t="s">
        <v>541</v>
      </c>
      <c r="D197" s="445" t="s">
        <v>722</v>
      </c>
      <c r="E197" s="117" t="s">
        <v>735</v>
      </c>
      <c r="F197" s="445" t="s">
        <v>956</v>
      </c>
      <c r="G197" s="518">
        <v>75</v>
      </c>
      <c r="H197" s="518">
        <v>75</v>
      </c>
    </row>
    <row r="198" spans="1:8" ht="45" x14ac:dyDescent="0.3">
      <c r="A198" s="129" t="s">
        <v>702</v>
      </c>
      <c r="B198" s="129" t="s">
        <v>703</v>
      </c>
      <c r="C198" s="512" t="s">
        <v>704</v>
      </c>
      <c r="D198" s="445" t="s">
        <v>722</v>
      </c>
      <c r="E198" s="117" t="s">
        <v>735</v>
      </c>
      <c r="F198" s="445" t="s">
        <v>956</v>
      </c>
      <c r="G198" s="518">
        <v>75</v>
      </c>
      <c r="H198" s="518">
        <v>75</v>
      </c>
    </row>
    <row r="199" spans="1:8" x14ac:dyDescent="0.2">
      <c r="F199" s="513"/>
      <c r="G199" s="513"/>
      <c r="H199" s="513"/>
    </row>
    <row r="200" spans="1:8" x14ac:dyDescent="0.2">
      <c r="H200" s="517">
        <f>SUM(H9:H199)</f>
        <v>19066</v>
      </c>
    </row>
    <row r="213" spans="1:8" ht="15" x14ac:dyDescent="0.3">
      <c r="A213" s="279" t="s">
        <v>354</v>
      </c>
      <c r="B213" s="278"/>
      <c r="C213" s="278"/>
      <c r="D213" s="278"/>
      <c r="E213" s="278"/>
    </row>
    <row r="214" spans="1:8" ht="15" x14ac:dyDescent="0.3">
      <c r="A214" s="279" t="s">
        <v>357</v>
      </c>
      <c r="B214" s="278"/>
      <c r="C214" s="278"/>
      <c r="D214" s="278"/>
      <c r="E214" s="278"/>
      <c r="H214" s="448"/>
    </row>
    <row r="215" spans="1:8" ht="15" x14ac:dyDescent="0.3">
      <c r="D215" s="233"/>
      <c r="E215" s="233"/>
    </row>
    <row r="216" spans="1:8" ht="15" x14ac:dyDescent="0.3">
      <c r="D216" s="233"/>
      <c r="E216" s="233"/>
    </row>
    <row r="217" spans="1:8" x14ac:dyDescent="0.2">
      <c r="D217" s="275"/>
      <c r="E217" s="275"/>
    </row>
    <row r="218" spans="1:8" ht="15" x14ac:dyDescent="0.3">
      <c r="A218" s="239" t="s">
        <v>107</v>
      </c>
      <c r="B218" s="233"/>
      <c r="C218" s="233"/>
      <c r="D218" s="233"/>
      <c r="E218" s="233"/>
    </row>
    <row r="219" spans="1:8" ht="15" x14ac:dyDescent="0.3">
      <c r="A219" s="233"/>
      <c r="B219" s="233"/>
      <c r="C219" s="233"/>
      <c r="D219" s="233"/>
      <c r="E219" s="233"/>
    </row>
    <row r="220" spans="1:8" ht="15" x14ac:dyDescent="0.3">
      <c r="A220" s="233"/>
      <c r="B220" s="233"/>
      <c r="C220" s="233"/>
      <c r="D220" s="233"/>
      <c r="E220" s="233"/>
    </row>
    <row r="221" spans="1:8" ht="15" x14ac:dyDescent="0.3">
      <c r="A221" s="239"/>
      <c r="B221" s="239" t="s">
        <v>274</v>
      </c>
      <c r="C221" s="239"/>
      <c r="D221" s="239"/>
      <c r="E221" s="239"/>
    </row>
    <row r="222" spans="1:8" ht="15" x14ac:dyDescent="0.3">
      <c r="A222" s="233"/>
      <c r="B222" s="233" t="s">
        <v>273</v>
      </c>
      <c r="C222" s="233"/>
      <c r="D222" s="233"/>
      <c r="E222" s="233"/>
    </row>
    <row r="223" spans="1:8" x14ac:dyDescent="0.2">
      <c r="A223" s="241"/>
      <c r="B223" s="241" t="s">
        <v>140</v>
      </c>
      <c r="C223" s="241"/>
      <c r="D223" s="241"/>
      <c r="E223" s="241"/>
    </row>
  </sheetData>
  <mergeCells count="2">
    <mergeCell ref="H1:I1"/>
    <mergeCell ref="H2:I2"/>
  </mergeCell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Q35" sqref="Q35"/>
    </sheetView>
  </sheetViews>
  <sheetFormatPr defaultRowHeight="12.75" x14ac:dyDescent="0.2"/>
  <cols>
    <col min="1" max="1" width="5.42578125" style="234" customWidth="1"/>
    <col min="2" max="2" width="13.140625" style="234" customWidth="1"/>
    <col min="3" max="3" width="15.140625" style="234" customWidth="1"/>
    <col min="4" max="4" width="18" style="234" customWidth="1"/>
    <col min="5" max="5" width="20.5703125" style="234" customWidth="1"/>
    <col min="6" max="6" width="21.28515625" style="234" customWidth="1"/>
    <col min="7" max="7" width="15.140625" style="234" customWidth="1"/>
    <col min="8" max="8" width="15.5703125" style="234" customWidth="1"/>
    <col min="9" max="9" width="13.42578125" style="234" customWidth="1"/>
    <col min="10" max="10" width="0" style="234" hidden="1" customWidth="1"/>
    <col min="11" max="16384" width="9.140625" style="234"/>
  </cols>
  <sheetData>
    <row r="1" spans="1:10" ht="15" x14ac:dyDescent="0.3">
      <c r="A1" s="104" t="s">
        <v>470</v>
      </c>
      <c r="B1" s="104"/>
      <c r="C1" s="107"/>
      <c r="D1" s="107"/>
      <c r="E1" s="107"/>
      <c r="F1" s="107"/>
      <c r="G1" s="535" t="s">
        <v>110</v>
      </c>
      <c r="H1" s="535"/>
    </row>
    <row r="2" spans="1:10" ht="15" x14ac:dyDescent="0.3">
      <c r="A2" s="106" t="s">
        <v>141</v>
      </c>
      <c r="B2" s="104"/>
      <c r="C2" s="107"/>
      <c r="D2" s="107"/>
      <c r="E2" s="107"/>
      <c r="F2" s="107"/>
      <c r="G2" s="533" t="s">
        <v>618</v>
      </c>
      <c r="H2" s="534"/>
    </row>
    <row r="3" spans="1:10" ht="15" x14ac:dyDescent="0.3">
      <c r="A3" s="106"/>
      <c r="B3" s="106"/>
      <c r="C3" s="106"/>
      <c r="D3" s="106"/>
      <c r="E3" s="106"/>
      <c r="F3" s="106"/>
      <c r="G3" s="269"/>
      <c r="H3" s="269"/>
    </row>
    <row r="4" spans="1:10" ht="15" x14ac:dyDescent="0.3">
      <c r="A4" s="107" t="str">
        <f>'ფორმა N2'!A4</f>
        <v>ანგარიშვალდებული პირის დასახელება:</v>
      </c>
      <c r="B4" s="107"/>
      <c r="C4" s="107"/>
      <c r="D4" s="107"/>
      <c r="E4" s="107"/>
      <c r="F4" s="107"/>
      <c r="G4" s="106"/>
      <c r="H4" s="106"/>
    </row>
    <row r="5" spans="1:10" ht="15" x14ac:dyDescent="0.3">
      <c r="A5" s="272" t="s">
        <v>520</v>
      </c>
      <c r="B5" s="110"/>
      <c r="C5" s="110"/>
      <c r="D5" s="110"/>
      <c r="E5" s="110"/>
      <c r="F5" s="110"/>
      <c r="G5" s="111"/>
      <c r="H5" s="111"/>
    </row>
    <row r="6" spans="1:10" ht="15" x14ac:dyDescent="0.3">
      <c r="A6" s="107"/>
      <c r="B6" s="107"/>
      <c r="C6" s="107"/>
      <c r="D6" s="107"/>
      <c r="E6" s="107"/>
      <c r="F6" s="107"/>
      <c r="G6" s="106"/>
      <c r="H6" s="106"/>
    </row>
    <row r="7" spans="1:10" ht="15" x14ac:dyDescent="0.2">
      <c r="A7" s="268"/>
      <c r="B7" s="268"/>
      <c r="C7" s="268"/>
      <c r="D7" s="271"/>
      <c r="E7" s="268"/>
      <c r="F7" s="268"/>
      <c r="G7" s="108"/>
      <c r="H7" s="108"/>
    </row>
    <row r="8" spans="1:10" ht="30" x14ac:dyDescent="0.2">
      <c r="A8" s="120" t="s">
        <v>64</v>
      </c>
      <c r="B8" s="120" t="s">
        <v>344</v>
      </c>
      <c r="C8" s="120" t="s">
        <v>345</v>
      </c>
      <c r="D8" s="120" t="s">
        <v>230</v>
      </c>
      <c r="E8" s="120" t="s">
        <v>353</v>
      </c>
      <c r="F8" s="120" t="s">
        <v>346</v>
      </c>
      <c r="G8" s="109" t="s">
        <v>10</v>
      </c>
      <c r="H8" s="109" t="s">
        <v>9</v>
      </c>
      <c r="J8" s="280" t="s">
        <v>352</v>
      </c>
    </row>
    <row r="9" spans="1:10" ht="15" x14ac:dyDescent="0.2">
      <c r="A9" s="128"/>
      <c r="B9" s="128"/>
      <c r="C9" s="128"/>
      <c r="D9" s="128"/>
      <c r="E9" s="128"/>
      <c r="F9" s="128"/>
      <c r="G9" s="4"/>
      <c r="H9" s="4"/>
      <c r="J9" s="280" t="s">
        <v>0</v>
      </c>
    </row>
    <row r="10" spans="1:10" ht="15" x14ac:dyDescent="0.2">
      <c r="A10" s="128"/>
      <c r="B10" s="128"/>
      <c r="C10" s="128"/>
      <c r="D10" s="128"/>
      <c r="E10" s="128"/>
      <c r="F10" s="128"/>
      <c r="G10" s="4"/>
      <c r="H10" s="4"/>
    </row>
    <row r="11" spans="1:10" ht="15" x14ac:dyDescent="0.2">
      <c r="A11" s="117"/>
      <c r="B11" s="117"/>
      <c r="C11" s="117"/>
      <c r="D11" s="117"/>
      <c r="E11" s="117"/>
      <c r="F11" s="117"/>
      <c r="G11" s="4"/>
      <c r="H11" s="4"/>
    </row>
    <row r="12" spans="1:10" ht="15" x14ac:dyDescent="0.2">
      <c r="A12" s="117"/>
      <c r="B12" s="117"/>
      <c r="C12" s="117"/>
      <c r="D12" s="117"/>
      <c r="E12" s="117"/>
      <c r="F12" s="117"/>
      <c r="G12" s="4"/>
      <c r="H12" s="4"/>
    </row>
    <row r="13" spans="1:10" ht="15" x14ac:dyDescent="0.2">
      <c r="A13" s="117"/>
      <c r="B13" s="117"/>
      <c r="C13" s="117"/>
      <c r="D13" s="117"/>
      <c r="E13" s="117"/>
      <c r="F13" s="117"/>
      <c r="G13" s="4"/>
      <c r="H13" s="4"/>
    </row>
    <row r="14" spans="1:10" ht="15" x14ac:dyDescent="0.2">
      <c r="A14" s="117"/>
      <c r="B14" s="117"/>
      <c r="C14" s="117"/>
      <c r="D14" s="117"/>
      <c r="E14" s="117"/>
      <c r="F14" s="117"/>
      <c r="G14" s="4"/>
      <c r="H14" s="4"/>
    </row>
    <row r="15" spans="1:10" ht="15" x14ac:dyDescent="0.2">
      <c r="A15" s="117"/>
      <c r="B15" s="117"/>
      <c r="C15" s="117"/>
      <c r="D15" s="117"/>
      <c r="E15" s="117"/>
      <c r="F15" s="117"/>
      <c r="G15" s="4"/>
      <c r="H15" s="4"/>
    </row>
    <row r="16" spans="1:10" ht="15" x14ac:dyDescent="0.2">
      <c r="A16" s="117"/>
      <c r="B16" s="117"/>
      <c r="C16" s="117"/>
      <c r="D16" s="117"/>
      <c r="E16" s="117"/>
      <c r="F16" s="117"/>
      <c r="G16" s="4"/>
      <c r="H16" s="4"/>
    </row>
    <row r="17" spans="1:8" ht="15" x14ac:dyDescent="0.2">
      <c r="A17" s="117"/>
      <c r="B17" s="117"/>
      <c r="C17" s="117"/>
      <c r="D17" s="117"/>
      <c r="E17" s="117"/>
      <c r="F17" s="117"/>
      <c r="G17" s="4"/>
      <c r="H17" s="4"/>
    </row>
    <row r="18" spans="1:8" ht="15" x14ac:dyDescent="0.2">
      <c r="A18" s="117"/>
      <c r="B18" s="117"/>
      <c r="C18" s="117"/>
      <c r="D18" s="117"/>
      <c r="E18" s="117"/>
      <c r="F18" s="117"/>
      <c r="G18" s="4"/>
      <c r="H18" s="4"/>
    </row>
    <row r="19" spans="1:8" ht="15" x14ac:dyDescent="0.2">
      <c r="A19" s="117"/>
      <c r="B19" s="117"/>
      <c r="C19" s="117"/>
      <c r="D19" s="117"/>
      <c r="E19" s="117"/>
      <c r="F19" s="117"/>
      <c r="G19" s="4"/>
      <c r="H19" s="4"/>
    </row>
    <row r="20" spans="1:8" ht="15" x14ac:dyDescent="0.2">
      <c r="A20" s="117"/>
      <c r="B20" s="117"/>
      <c r="C20" s="117"/>
      <c r="D20" s="117"/>
      <c r="E20" s="117"/>
      <c r="F20" s="117"/>
      <c r="G20" s="4"/>
      <c r="H20" s="4"/>
    </row>
    <row r="21" spans="1:8" ht="15" x14ac:dyDescent="0.2">
      <c r="A21" s="117"/>
      <c r="B21" s="117"/>
      <c r="C21" s="117"/>
      <c r="D21" s="117"/>
      <c r="E21" s="117"/>
      <c r="F21" s="117"/>
      <c r="G21" s="4"/>
      <c r="H21" s="4"/>
    </row>
    <row r="22" spans="1:8" ht="15" x14ac:dyDescent="0.2">
      <c r="A22" s="117"/>
      <c r="B22" s="117"/>
      <c r="C22" s="117"/>
      <c r="D22" s="117"/>
      <c r="E22" s="117"/>
      <c r="F22" s="117"/>
      <c r="G22" s="4"/>
      <c r="H22" s="4"/>
    </row>
    <row r="23" spans="1:8" ht="15" x14ac:dyDescent="0.2">
      <c r="A23" s="117"/>
      <c r="B23" s="117"/>
      <c r="C23" s="117"/>
      <c r="D23" s="117"/>
      <c r="E23" s="117"/>
      <c r="F23" s="117"/>
      <c r="G23" s="4"/>
      <c r="H23" s="4"/>
    </row>
    <row r="24" spans="1:8" ht="15" x14ac:dyDescent="0.2">
      <c r="A24" s="117"/>
      <c r="B24" s="117"/>
      <c r="C24" s="117"/>
      <c r="D24" s="117"/>
      <c r="E24" s="117"/>
      <c r="F24" s="117"/>
      <c r="G24" s="4"/>
      <c r="H24" s="4"/>
    </row>
    <row r="25" spans="1:8" ht="15" x14ac:dyDescent="0.2">
      <c r="A25" s="117"/>
      <c r="B25" s="117"/>
      <c r="C25" s="117"/>
      <c r="D25" s="117"/>
      <c r="E25" s="117"/>
      <c r="F25" s="117"/>
      <c r="G25" s="4"/>
      <c r="H25" s="4"/>
    </row>
    <row r="26" spans="1:8" ht="15" x14ac:dyDescent="0.2">
      <c r="A26" s="117"/>
      <c r="B26" s="117"/>
      <c r="C26" s="117"/>
      <c r="D26" s="117"/>
      <c r="E26" s="117"/>
      <c r="F26" s="117"/>
      <c r="G26" s="4"/>
      <c r="H26" s="4"/>
    </row>
    <row r="27" spans="1:8" ht="15" x14ac:dyDescent="0.2">
      <c r="A27" s="117"/>
      <c r="B27" s="117"/>
      <c r="C27" s="117"/>
      <c r="D27" s="117"/>
      <c r="E27" s="117"/>
      <c r="F27" s="117"/>
      <c r="G27" s="4"/>
      <c r="H27" s="4"/>
    </row>
    <row r="28" spans="1:8" ht="15" x14ac:dyDescent="0.2">
      <c r="A28" s="117"/>
      <c r="B28" s="117"/>
      <c r="C28" s="117"/>
      <c r="D28" s="117"/>
      <c r="E28" s="117"/>
      <c r="F28" s="117"/>
      <c r="G28" s="4"/>
      <c r="H28" s="4"/>
    </row>
    <row r="29" spans="1:8" ht="15" x14ac:dyDescent="0.2">
      <c r="A29" s="117"/>
      <c r="B29" s="117"/>
      <c r="C29" s="117"/>
      <c r="D29" s="117"/>
      <c r="E29" s="117"/>
      <c r="F29" s="117"/>
      <c r="G29" s="4"/>
      <c r="H29" s="4"/>
    </row>
    <row r="30" spans="1:8" ht="15" x14ac:dyDescent="0.2">
      <c r="A30" s="117"/>
      <c r="B30" s="117"/>
      <c r="C30" s="117"/>
      <c r="D30" s="117"/>
      <c r="E30" s="117"/>
      <c r="F30" s="117"/>
      <c r="G30" s="4"/>
      <c r="H30" s="4"/>
    </row>
    <row r="31" spans="1:8" ht="15" x14ac:dyDescent="0.2">
      <c r="A31" s="117"/>
      <c r="B31" s="117"/>
      <c r="C31" s="117"/>
      <c r="D31" s="117"/>
      <c r="E31" s="117"/>
      <c r="F31" s="117"/>
      <c r="G31" s="4"/>
      <c r="H31" s="4"/>
    </row>
    <row r="32" spans="1:8" ht="15" x14ac:dyDescent="0.2">
      <c r="A32" s="117"/>
      <c r="B32" s="117"/>
      <c r="C32" s="117"/>
      <c r="D32" s="117"/>
      <c r="E32" s="117"/>
      <c r="F32" s="117"/>
      <c r="G32" s="4"/>
      <c r="H32" s="4"/>
    </row>
    <row r="33" spans="1:9" ht="15" x14ac:dyDescent="0.2">
      <c r="A33" s="117"/>
      <c r="B33" s="117"/>
      <c r="C33" s="117"/>
      <c r="D33" s="117"/>
      <c r="E33" s="117"/>
      <c r="F33" s="117"/>
      <c r="G33" s="4"/>
      <c r="H33" s="4"/>
    </row>
    <row r="34" spans="1:9" ht="15" x14ac:dyDescent="0.3">
      <c r="A34" s="117"/>
      <c r="B34" s="129"/>
      <c r="C34" s="129"/>
      <c r="D34" s="129"/>
      <c r="E34" s="129"/>
      <c r="F34" s="129" t="s">
        <v>351</v>
      </c>
      <c r="G34" s="116">
        <f>SUM(G9:G33)</f>
        <v>0</v>
      </c>
      <c r="H34" s="116">
        <f>SUM(H9:H33)</f>
        <v>0</v>
      </c>
    </row>
    <row r="35" spans="1:9" ht="15" x14ac:dyDescent="0.3">
      <c r="A35" s="278"/>
      <c r="B35" s="278"/>
      <c r="C35" s="278"/>
      <c r="D35" s="278"/>
      <c r="E35" s="278"/>
      <c r="F35" s="278"/>
      <c r="G35" s="278"/>
      <c r="H35" s="233"/>
      <c r="I35" s="233"/>
    </row>
    <row r="36" spans="1:9" ht="15" x14ac:dyDescent="0.3">
      <c r="A36" s="279" t="s">
        <v>405</v>
      </c>
      <c r="B36" s="279"/>
      <c r="C36" s="278"/>
      <c r="D36" s="278"/>
      <c r="E36" s="278"/>
      <c r="F36" s="278"/>
      <c r="G36" s="278"/>
      <c r="H36" s="233"/>
      <c r="I36" s="233"/>
    </row>
    <row r="37" spans="1:9" ht="15" x14ac:dyDescent="0.3">
      <c r="A37" s="279" t="s">
        <v>350</v>
      </c>
      <c r="B37" s="279"/>
      <c r="C37" s="278"/>
      <c r="D37" s="278"/>
      <c r="E37" s="278"/>
      <c r="F37" s="278"/>
      <c r="G37" s="278"/>
      <c r="H37" s="233"/>
      <c r="I37" s="233"/>
    </row>
    <row r="38" spans="1:9" ht="15" x14ac:dyDescent="0.3">
      <c r="A38" s="279"/>
      <c r="B38" s="279"/>
      <c r="C38" s="233"/>
      <c r="D38" s="233"/>
      <c r="E38" s="233"/>
      <c r="F38" s="233"/>
      <c r="G38" s="233"/>
      <c r="H38" s="233"/>
      <c r="I38" s="233"/>
    </row>
    <row r="39" spans="1:9" ht="15" x14ac:dyDescent="0.3">
      <c r="A39" s="279"/>
      <c r="B39" s="279"/>
      <c r="C39" s="233"/>
      <c r="D39" s="233"/>
      <c r="E39" s="233"/>
      <c r="F39" s="233"/>
      <c r="G39" s="233"/>
      <c r="H39" s="233"/>
      <c r="I39" s="233"/>
    </row>
    <row r="40" spans="1:9" x14ac:dyDescent="0.2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 ht="15" x14ac:dyDescent="0.3">
      <c r="A41" s="239" t="s">
        <v>107</v>
      </c>
      <c r="B41" s="239"/>
      <c r="C41" s="233"/>
      <c r="D41" s="233"/>
      <c r="E41" s="233"/>
      <c r="F41" s="233"/>
      <c r="G41" s="233"/>
      <c r="H41" s="233"/>
      <c r="I41" s="233"/>
    </row>
    <row r="42" spans="1:9" ht="15" x14ac:dyDescent="0.3">
      <c r="A42" s="233"/>
      <c r="B42" s="233"/>
      <c r="C42" s="233"/>
      <c r="D42" s="233"/>
      <c r="E42" s="233"/>
      <c r="F42" s="233"/>
      <c r="G42" s="233"/>
      <c r="H42" s="233"/>
      <c r="I42" s="233"/>
    </row>
    <row r="43" spans="1:9" ht="15" x14ac:dyDescent="0.3">
      <c r="A43" s="233"/>
      <c r="B43" s="233"/>
      <c r="C43" s="233"/>
      <c r="D43" s="233"/>
      <c r="E43" s="233"/>
      <c r="F43" s="233"/>
      <c r="G43" s="233"/>
      <c r="H43" s="233"/>
      <c r="I43" s="240"/>
    </row>
    <row r="44" spans="1:9" ht="15" x14ac:dyDescent="0.3">
      <c r="A44" s="239"/>
      <c r="B44" s="239"/>
      <c r="C44" s="239" t="s">
        <v>436</v>
      </c>
      <c r="D44" s="239"/>
      <c r="E44" s="278"/>
      <c r="F44" s="239"/>
      <c r="G44" s="239"/>
      <c r="H44" s="233"/>
      <c r="I44" s="240"/>
    </row>
    <row r="45" spans="1:9" ht="15" x14ac:dyDescent="0.3">
      <c r="A45" s="233"/>
      <c r="B45" s="233"/>
      <c r="C45" s="233" t="s">
        <v>273</v>
      </c>
      <c r="D45" s="233"/>
      <c r="E45" s="233"/>
      <c r="F45" s="233"/>
      <c r="G45" s="233"/>
      <c r="H45" s="233"/>
      <c r="I45" s="240"/>
    </row>
    <row r="46" spans="1:9" x14ac:dyDescent="0.2">
      <c r="A46" s="241"/>
      <c r="B46" s="241"/>
      <c r="C46" s="241" t="s">
        <v>140</v>
      </c>
      <c r="D46" s="241"/>
      <c r="E46" s="241"/>
      <c r="F46" s="241"/>
      <c r="G46" s="241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04" t="s">
        <v>308</v>
      </c>
      <c r="B1" s="161"/>
      <c r="C1" s="535" t="s">
        <v>110</v>
      </c>
      <c r="D1" s="535"/>
      <c r="E1" s="198"/>
    </row>
    <row r="2" spans="1:12" x14ac:dyDescent="0.3">
      <c r="A2" s="106" t="s">
        <v>141</v>
      </c>
      <c r="B2" s="161"/>
      <c r="C2" s="533" t="s">
        <v>618</v>
      </c>
      <c r="D2" s="534"/>
      <c r="E2" s="198"/>
    </row>
    <row r="3" spans="1:12" x14ac:dyDescent="0.3">
      <c r="A3" s="106"/>
      <c r="B3" s="161"/>
      <c r="C3" s="105"/>
      <c r="D3" s="105"/>
      <c r="E3" s="198"/>
    </row>
    <row r="4" spans="1:12" s="2" customFormat="1" x14ac:dyDescent="0.3">
      <c r="A4" s="107" t="str">
        <f>'ფორმა N2'!A4</f>
        <v>ანგარიშვალდებული პირის დასახელება:</v>
      </c>
      <c r="B4" s="107"/>
      <c r="C4" s="106"/>
      <c r="D4" s="106"/>
      <c r="E4" s="155"/>
      <c r="L4" s="21"/>
    </row>
    <row r="5" spans="1:12" s="2" customFormat="1" x14ac:dyDescent="0.3">
      <c r="A5" s="272" t="s">
        <v>520</v>
      </c>
      <c r="B5" s="110"/>
      <c r="C5" s="110"/>
      <c r="D5" s="110"/>
      <c r="E5" s="110"/>
      <c r="F5" s="110"/>
      <c r="G5" s="106"/>
    </row>
    <row r="6" spans="1:12" s="2" customFormat="1" x14ac:dyDescent="0.3">
      <c r="A6" s="107"/>
      <c r="B6" s="107"/>
      <c r="C6" s="106"/>
      <c r="D6" s="106"/>
      <c r="E6" s="155"/>
    </row>
    <row r="7" spans="1:12" s="6" customFormat="1" x14ac:dyDescent="0.3">
      <c r="A7" s="130"/>
      <c r="B7" s="130"/>
      <c r="C7" s="108"/>
      <c r="D7" s="108"/>
      <c r="E7" s="199"/>
    </row>
    <row r="8" spans="1:12" s="6" customFormat="1" ht="30" x14ac:dyDescent="0.3">
      <c r="A8" s="151" t="s">
        <v>64</v>
      </c>
      <c r="B8" s="109" t="s">
        <v>11</v>
      </c>
      <c r="C8" s="109" t="s">
        <v>10</v>
      </c>
      <c r="D8" s="109" t="s">
        <v>9</v>
      </c>
      <c r="E8" s="199"/>
    </row>
    <row r="9" spans="1:12" s="9" customFormat="1" ht="18" x14ac:dyDescent="0.2">
      <c r="A9" s="13">
        <v>1</v>
      </c>
      <c r="B9" s="13" t="s">
        <v>57</v>
      </c>
      <c r="C9" s="112">
        <f>SUM(C10,C13,C52,C55,C56,C57,C74,C75)</f>
        <v>355780.99000000005</v>
      </c>
      <c r="D9" s="112">
        <f>SUM(D10,D13,D52,D55,D56,D57,D63,D70,D71,D75)</f>
        <v>234249.1</v>
      </c>
      <c r="E9" s="200"/>
    </row>
    <row r="10" spans="1:12" s="9" customFormat="1" ht="18" x14ac:dyDescent="0.2">
      <c r="A10" s="14">
        <v>1.1000000000000001</v>
      </c>
      <c r="B10" s="14" t="s">
        <v>58</v>
      </c>
      <c r="C10" s="114">
        <f>SUM(C11:C12)</f>
        <v>750</v>
      </c>
      <c r="D10" s="114">
        <f>SUM(D11:D12)</f>
        <v>750</v>
      </c>
      <c r="E10" s="200"/>
    </row>
    <row r="11" spans="1:12" s="9" customFormat="1" ht="16.5" customHeight="1" x14ac:dyDescent="0.2">
      <c r="A11" s="16" t="s">
        <v>30</v>
      </c>
      <c r="B11" s="16" t="s">
        <v>59</v>
      </c>
      <c r="C11" s="33">
        <v>750</v>
      </c>
      <c r="D11" s="34">
        <v>750</v>
      </c>
      <c r="E11" s="200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98"/>
    </row>
    <row r="13" spans="1:12" x14ac:dyDescent="0.3">
      <c r="A13" s="14">
        <v>1.2</v>
      </c>
      <c r="B13" s="14" t="s">
        <v>60</v>
      </c>
      <c r="C13" s="114">
        <f>SUM(C14,C17,C29:C32,C35,C36,C42,C43,C44,C45,C46,C50,C51)</f>
        <v>354977.99000000005</v>
      </c>
      <c r="D13" s="114">
        <f>SUM(D14,D17,D29:D32,D35,D36,D42,D43,D44,D45,D46,D50,D51)</f>
        <v>233499.1</v>
      </c>
      <c r="E13" s="198"/>
    </row>
    <row r="14" spans="1:12" x14ac:dyDescent="0.3">
      <c r="A14" s="16" t="s">
        <v>32</v>
      </c>
      <c r="B14" s="16" t="s">
        <v>1</v>
      </c>
      <c r="C14" s="113">
        <f>SUM(C15:C16)</f>
        <v>0</v>
      </c>
      <c r="D14" s="113">
        <f>SUM(D15:D16)</f>
        <v>0</v>
      </c>
      <c r="E14" s="198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98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98"/>
    </row>
    <row r="17" spans="1:5" x14ac:dyDescent="0.3">
      <c r="A17" s="16" t="s">
        <v>33</v>
      </c>
      <c r="B17" s="16" t="s">
        <v>2</v>
      </c>
      <c r="C17" s="113">
        <f>SUM(C18:C23,C28)</f>
        <v>12223.76</v>
      </c>
      <c r="D17" s="113">
        <f>SUM(D18:D23,D28)</f>
        <v>593.6</v>
      </c>
      <c r="E17" s="198"/>
    </row>
    <row r="18" spans="1:5" ht="30" x14ac:dyDescent="0.3">
      <c r="A18" s="17" t="s">
        <v>12</v>
      </c>
      <c r="B18" s="17" t="s">
        <v>253</v>
      </c>
      <c r="C18" s="37">
        <v>2080</v>
      </c>
      <c r="D18" s="38"/>
      <c r="E18" s="198"/>
    </row>
    <row r="19" spans="1:5" x14ac:dyDescent="0.3">
      <c r="A19" s="17" t="s">
        <v>13</v>
      </c>
      <c r="B19" s="17" t="s">
        <v>14</v>
      </c>
      <c r="C19" s="37"/>
      <c r="D19" s="39"/>
      <c r="E19" s="198"/>
    </row>
    <row r="20" spans="1:5" ht="30" x14ac:dyDescent="0.3">
      <c r="A20" s="17" t="s">
        <v>287</v>
      </c>
      <c r="B20" s="17" t="s">
        <v>22</v>
      </c>
      <c r="C20" s="37"/>
      <c r="D20" s="40"/>
      <c r="E20" s="198"/>
    </row>
    <row r="21" spans="1:5" x14ac:dyDescent="0.3">
      <c r="A21" s="17" t="s">
        <v>288</v>
      </c>
      <c r="B21" s="17" t="s">
        <v>15</v>
      </c>
      <c r="C21" s="37">
        <v>2345.58</v>
      </c>
      <c r="D21" s="40">
        <v>479.6</v>
      </c>
      <c r="E21" s="198"/>
    </row>
    <row r="22" spans="1:5" x14ac:dyDescent="0.3">
      <c r="A22" s="17" t="s">
        <v>289</v>
      </c>
      <c r="B22" s="17" t="s">
        <v>16</v>
      </c>
      <c r="C22" s="37"/>
      <c r="D22" s="40"/>
      <c r="E22" s="198"/>
    </row>
    <row r="23" spans="1:5" x14ac:dyDescent="0.3">
      <c r="A23" s="17" t="s">
        <v>290</v>
      </c>
      <c r="B23" s="17" t="s">
        <v>17</v>
      </c>
      <c r="C23" s="164">
        <f>SUM(C24:C27)</f>
        <v>7798.18</v>
      </c>
      <c r="D23" s="164">
        <f>SUM(D24:D27)</f>
        <v>114</v>
      </c>
      <c r="E23" s="198"/>
    </row>
    <row r="24" spans="1:5" ht="16.5" customHeight="1" x14ac:dyDescent="0.3">
      <c r="A24" s="18" t="s">
        <v>291</v>
      </c>
      <c r="B24" s="18" t="s">
        <v>18</v>
      </c>
      <c r="C24" s="37">
        <v>7624.04</v>
      </c>
      <c r="D24" s="40">
        <v>83.5</v>
      </c>
      <c r="E24" s="198"/>
    </row>
    <row r="25" spans="1:5" ht="16.5" customHeight="1" x14ac:dyDescent="0.3">
      <c r="A25" s="18" t="s">
        <v>292</v>
      </c>
      <c r="B25" s="18" t="s">
        <v>19</v>
      </c>
      <c r="C25" s="37">
        <v>150.63999999999999</v>
      </c>
      <c r="D25" s="40">
        <v>7</v>
      </c>
      <c r="E25" s="198"/>
    </row>
    <row r="26" spans="1:5" ht="16.5" customHeight="1" x14ac:dyDescent="0.3">
      <c r="A26" s="18" t="s">
        <v>293</v>
      </c>
      <c r="B26" s="18" t="s">
        <v>20</v>
      </c>
      <c r="C26" s="37"/>
      <c r="D26" s="40"/>
      <c r="E26" s="198"/>
    </row>
    <row r="27" spans="1:5" ht="16.5" customHeight="1" x14ac:dyDescent="0.3">
      <c r="A27" s="18" t="s">
        <v>294</v>
      </c>
      <c r="B27" s="18" t="s">
        <v>23</v>
      </c>
      <c r="C27" s="37">
        <v>23.5</v>
      </c>
      <c r="D27" s="41">
        <v>23.5</v>
      </c>
      <c r="E27" s="198"/>
    </row>
    <row r="28" spans="1:5" x14ac:dyDescent="0.3">
      <c r="A28" s="17" t="s">
        <v>295</v>
      </c>
      <c r="B28" s="17" t="s">
        <v>21</v>
      </c>
      <c r="C28" s="37"/>
      <c r="D28" s="41"/>
      <c r="E28" s="198"/>
    </row>
    <row r="29" spans="1:5" x14ac:dyDescent="0.3">
      <c r="A29" s="16" t="s">
        <v>34</v>
      </c>
      <c r="B29" s="16" t="s">
        <v>3</v>
      </c>
      <c r="C29" s="33">
        <v>60</v>
      </c>
      <c r="D29" s="34">
        <v>60</v>
      </c>
      <c r="E29" s="198"/>
    </row>
    <row r="30" spans="1:5" x14ac:dyDescent="0.3">
      <c r="A30" s="16" t="s">
        <v>35</v>
      </c>
      <c r="B30" s="16" t="s">
        <v>4</v>
      </c>
      <c r="C30" s="33"/>
      <c r="D30" s="34"/>
      <c r="E30" s="198"/>
    </row>
    <row r="31" spans="1:5" x14ac:dyDescent="0.3">
      <c r="A31" s="16" t="s">
        <v>36</v>
      </c>
      <c r="B31" s="16" t="s">
        <v>5</v>
      </c>
      <c r="C31" s="33"/>
      <c r="D31" s="34"/>
      <c r="E31" s="198"/>
    </row>
    <row r="32" spans="1:5" ht="30" x14ac:dyDescent="0.3">
      <c r="A32" s="16" t="s">
        <v>37</v>
      </c>
      <c r="B32" s="16" t="s">
        <v>63</v>
      </c>
      <c r="C32" s="113">
        <f>SUM(C33:C34)</f>
        <v>0</v>
      </c>
      <c r="D32" s="113">
        <f>SUM(D33:D34)</f>
        <v>0</v>
      </c>
      <c r="E32" s="198"/>
    </row>
    <row r="33" spans="1:5" x14ac:dyDescent="0.3">
      <c r="A33" s="17" t="s">
        <v>296</v>
      </c>
      <c r="B33" s="17" t="s">
        <v>56</v>
      </c>
      <c r="C33" s="33"/>
      <c r="D33" s="34"/>
      <c r="E33" s="198"/>
    </row>
    <row r="34" spans="1:5" x14ac:dyDescent="0.3">
      <c r="A34" s="17" t="s">
        <v>297</v>
      </c>
      <c r="B34" s="17" t="s">
        <v>55</v>
      </c>
      <c r="C34" s="33"/>
      <c r="D34" s="34"/>
      <c r="E34" s="198"/>
    </row>
    <row r="35" spans="1:5" x14ac:dyDescent="0.3">
      <c r="A35" s="16" t="s">
        <v>38</v>
      </c>
      <c r="B35" s="16" t="s">
        <v>49</v>
      </c>
      <c r="C35" s="33">
        <v>25</v>
      </c>
      <c r="D35" s="34">
        <v>25</v>
      </c>
      <c r="E35" s="198"/>
    </row>
    <row r="36" spans="1:5" x14ac:dyDescent="0.3">
      <c r="A36" s="16" t="s">
        <v>39</v>
      </c>
      <c r="B36" s="16" t="s">
        <v>362</v>
      </c>
      <c r="C36" s="113">
        <f>SUM(C37:C41)</f>
        <v>222130</v>
      </c>
      <c r="D36" s="113">
        <f>SUM(D37:D41)</f>
        <v>213864.5</v>
      </c>
      <c r="E36" s="198"/>
    </row>
    <row r="37" spans="1:5" x14ac:dyDescent="0.3">
      <c r="A37" s="17" t="s">
        <v>359</v>
      </c>
      <c r="B37" s="17" t="s">
        <v>363</v>
      </c>
      <c r="C37" s="33">
        <v>219729</v>
      </c>
      <c r="D37" s="33">
        <v>213864.5</v>
      </c>
      <c r="E37" s="198"/>
    </row>
    <row r="38" spans="1:5" x14ac:dyDescent="0.3">
      <c r="A38" s="17" t="s">
        <v>360</v>
      </c>
      <c r="B38" s="17" t="s">
        <v>364</v>
      </c>
      <c r="C38" s="33"/>
      <c r="D38" s="33"/>
      <c r="E38" s="198"/>
    </row>
    <row r="39" spans="1:5" x14ac:dyDescent="0.3">
      <c r="A39" s="17" t="s">
        <v>361</v>
      </c>
      <c r="B39" s="17" t="s">
        <v>367</v>
      </c>
      <c r="C39" s="33"/>
      <c r="D39" s="34"/>
      <c r="E39" s="198"/>
    </row>
    <row r="40" spans="1:5" x14ac:dyDescent="0.3">
      <c r="A40" s="17" t="s">
        <v>366</v>
      </c>
      <c r="B40" s="17" t="s">
        <v>368</v>
      </c>
      <c r="C40" s="33"/>
      <c r="D40" s="34"/>
      <c r="E40" s="198"/>
    </row>
    <row r="41" spans="1:5" x14ac:dyDescent="0.3">
      <c r="A41" s="17" t="s">
        <v>369</v>
      </c>
      <c r="B41" s="17" t="s">
        <v>365</v>
      </c>
      <c r="C41" s="33">
        <v>2401</v>
      </c>
      <c r="D41" s="34"/>
      <c r="E41" s="198"/>
    </row>
    <row r="42" spans="1:5" ht="30" x14ac:dyDescent="0.3">
      <c r="A42" s="16" t="s">
        <v>40</v>
      </c>
      <c r="B42" s="16" t="s">
        <v>28</v>
      </c>
      <c r="C42" s="33"/>
      <c r="D42" s="34"/>
      <c r="E42" s="198"/>
    </row>
    <row r="43" spans="1:5" x14ac:dyDescent="0.3">
      <c r="A43" s="16" t="s">
        <v>41</v>
      </c>
      <c r="B43" s="16" t="s">
        <v>24</v>
      </c>
      <c r="C43" s="33"/>
      <c r="D43" s="34">
        <v>417</v>
      </c>
      <c r="E43" s="198"/>
    </row>
    <row r="44" spans="1:5" x14ac:dyDescent="0.3">
      <c r="A44" s="16" t="s">
        <v>42</v>
      </c>
      <c r="B44" s="16" t="s">
        <v>25</v>
      </c>
      <c r="C44" s="33"/>
      <c r="D44" s="34"/>
      <c r="E44" s="198"/>
    </row>
    <row r="45" spans="1:5" x14ac:dyDescent="0.3">
      <c r="A45" s="16" t="s">
        <v>43</v>
      </c>
      <c r="B45" s="16" t="s">
        <v>26</v>
      </c>
      <c r="C45" s="33"/>
      <c r="D45" s="34"/>
      <c r="E45" s="198"/>
    </row>
    <row r="46" spans="1:5" x14ac:dyDescent="0.3">
      <c r="A46" s="16" t="s">
        <v>44</v>
      </c>
      <c r="B46" s="16" t="s">
        <v>302</v>
      </c>
      <c r="C46" s="113">
        <f>SUM(C47:C49)</f>
        <v>98942.83</v>
      </c>
      <c r="D46" s="113">
        <f>SUM(D47:D49)</f>
        <v>4922</v>
      </c>
      <c r="E46" s="198"/>
    </row>
    <row r="47" spans="1:5" x14ac:dyDescent="0.3">
      <c r="A47" s="127" t="s">
        <v>375</v>
      </c>
      <c r="B47" s="127" t="s">
        <v>378</v>
      </c>
      <c r="C47" s="33">
        <v>94942.83</v>
      </c>
      <c r="D47" s="34">
        <v>4922</v>
      </c>
      <c r="E47" s="198"/>
    </row>
    <row r="48" spans="1:5" x14ac:dyDescent="0.3">
      <c r="A48" s="127" t="s">
        <v>376</v>
      </c>
      <c r="B48" s="127" t="s">
        <v>377</v>
      </c>
      <c r="C48" s="33"/>
      <c r="D48" s="34"/>
      <c r="E48" s="198"/>
    </row>
    <row r="49" spans="1:5" x14ac:dyDescent="0.3">
      <c r="A49" s="127" t="s">
        <v>379</v>
      </c>
      <c r="B49" s="127" t="s">
        <v>380</v>
      </c>
      <c r="C49" s="33">
        <v>4000</v>
      </c>
      <c r="D49" s="34"/>
      <c r="E49" s="198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198"/>
    </row>
    <row r="51" spans="1:5" x14ac:dyDescent="0.3">
      <c r="A51" s="16" t="s">
        <v>46</v>
      </c>
      <c r="B51" s="16" t="s">
        <v>6</v>
      </c>
      <c r="C51" s="33">
        <v>21596.400000000001</v>
      </c>
      <c r="D51" s="34">
        <v>13617</v>
      </c>
      <c r="E51" s="198"/>
    </row>
    <row r="52" spans="1:5" ht="30" x14ac:dyDescent="0.3">
      <c r="A52" s="14">
        <v>1.3</v>
      </c>
      <c r="B52" s="117" t="s">
        <v>419</v>
      </c>
      <c r="C52" s="114">
        <v>53</v>
      </c>
      <c r="D52" s="114">
        <f>SUM(D53:D54)</f>
        <v>0</v>
      </c>
      <c r="E52" s="198"/>
    </row>
    <row r="53" spans="1:5" ht="30" x14ac:dyDescent="0.3">
      <c r="A53" s="16" t="s">
        <v>50</v>
      </c>
      <c r="B53" s="16" t="s">
        <v>48</v>
      </c>
      <c r="C53" s="33">
        <v>53</v>
      </c>
      <c r="D53" s="34"/>
      <c r="E53" s="198"/>
    </row>
    <row r="54" spans="1:5" x14ac:dyDescent="0.3">
      <c r="A54" s="16" t="s">
        <v>51</v>
      </c>
      <c r="B54" s="16" t="s">
        <v>47</v>
      </c>
      <c r="C54" s="33"/>
      <c r="D54" s="34"/>
      <c r="E54" s="198"/>
    </row>
    <row r="55" spans="1:5" x14ac:dyDescent="0.3">
      <c r="A55" s="14">
        <v>1.4</v>
      </c>
      <c r="B55" s="14" t="s">
        <v>421</v>
      </c>
      <c r="C55" s="33"/>
      <c r="D55" s="34"/>
      <c r="E55" s="198"/>
    </row>
    <row r="56" spans="1:5" x14ac:dyDescent="0.3">
      <c r="A56" s="14">
        <v>1.5</v>
      </c>
      <c r="B56" s="14" t="s">
        <v>7</v>
      </c>
      <c r="C56" s="37"/>
      <c r="D56" s="40"/>
      <c r="E56" s="198"/>
    </row>
    <row r="57" spans="1:5" x14ac:dyDescent="0.3">
      <c r="A57" s="14">
        <v>1.6</v>
      </c>
      <c r="B57" s="45" t="s">
        <v>8</v>
      </c>
      <c r="C57" s="114">
        <f>SUM(C58:C62)</f>
        <v>0</v>
      </c>
      <c r="D57" s="114">
        <f>SUM(D58:D62)</f>
        <v>0</v>
      </c>
      <c r="E57" s="198"/>
    </row>
    <row r="58" spans="1:5" x14ac:dyDescent="0.3">
      <c r="A58" s="16" t="s">
        <v>303</v>
      </c>
      <c r="B58" s="46" t="s">
        <v>52</v>
      </c>
      <c r="C58" s="37"/>
      <c r="D58" s="40"/>
      <c r="E58" s="198"/>
    </row>
    <row r="59" spans="1:5" ht="30" x14ac:dyDescent="0.3">
      <c r="A59" s="16" t="s">
        <v>304</v>
      </c>
      <c r="B59" s="46" t="s">
        <v>54</v>
      </c>
      <c r="C59" s="37"/>
      <c r="D59" s="40"/>
      <c r="E59" s="198"/>
    </row>
    <row r="60" spans="1:5" x14ac:dyDescent="0.3">
      <c r="A60" s="16" t="s">
        <v>305</v>
      </c>
      <c r="B60" s="46" t="s">
        <v>53</v>
      </c>
      <c r="C60" s="40"/>
      <c r="D60" s="40"/>
      <c r="E60" s="198"/>
    </row>
    <row r="61" spans="1:5" x14ac:dyDescent="0.3">
      <c r="A61" s="16" t="s">
        <v>306</v>
      </c>
      <c r="B61" s="46" t="s">
        <v>27</v>
      </c>
      <c r="C61" s="37"/>
      <c r="D61" s="40"/>
      <c r="E61" s="198"/>
    </row>
    <row r="62" spans="1:5" x14ac:dyDescent="0.3">
      <c r="A62" s="16" t="s">
        <v>342</v>
      </c>
      <c r="B62" s="266" t="s">
        <v>343</v>
      </c>
      <c r="C62" s="37"/>
      <c r="D62" s="267"/>
      <c r="E62" s="198"/>
    </row>
    <row r="63" spans="1:5" x14ac:dyDescent="0.3">
      <c r="A63" s="13">
        <v>2</v>
      </c>
      <c r="B63" s="47" t="s">
        <v>106</v>
      </c>
      <c r="C63" s="334"/>
      <c r="D63" s="165">
        <f>SUM(D64:D69)</f>
        <v>0</v>
      </c>
      <c r="E63" s="198"/>
    </row>
    <row r="64" spans="1:5" x14ac:dyDescent="0.3">
      <c r="A64" s="15">
        <v>2.1</v>
      </c>
      <c r="B64" s="48" t="s">
        <v>100</v>
      </c>
      <c r="C64" s="334"/>
      <c r="D64" s="42"/>
      <c r="E64" s="198"/>
    </row>
    <row r="65" spans="1:5" x14ac:dyDescent="0.3">
      <c r="A65" s="15">
        <v>2.2000000000000002</v>
      </c>
      <c r="B65" s="48" t="s">
        <v>104</v>
      </c>
      <c r="C65" s="336"/>
      <c r="D65" s="43"/>
      <c r="E65" s="198"/>
    </row>
    <row r="66" spans="1:5" x14ac:dyDescent="0.3">
      <c r="A66" s="15">
        <v>2.2999999999999998</v>
      </c>
      <c r="B66" s="48" t="s">
        <v>103</v>
      </c>
      <c r="C66" s="336"/>
      <c r="D66" s="43"/>
      <c r="E66" s="198"/>
    </row>
    <row r="67" spans="1:5" x14ac:dyDescent="0.3">
      <c r="A67" s="15">
        <v>2.4</v>
      </c>
      <c r="B67" s="48" t="s">
        <v>105</v>
      </c>
      <c r="C67" s="336"/>
      <c r="D67" s="43"/>
      <c r="E67" s="198"/>
    </row>
    <row r="68" spans="1:5" x14ac:dyDescent="0.3">
      <c r="A68" s="15">
        <v>2.5</v>
      </c>
      <c r="B68" s="48" t="s">
        <v>101</v>
      </c>
      <c r="C68" s="336"/>
      <c r="D68" s="43"/>
      <c r="E68" s="198"/>
    </row>
    <row r="69" spans="1:5" x14ac:dyDescent="0.3">
      <c r="A69" s="15">
        <v>2.6</v>
      </c>
      <c r="B69" s="48" t="s">
        <v>102</v>
      </c>
      <c r="C69" s="336"/>
      <c r="D69" s="43"/>
      <c r="E69" s="198"/>
    </row>
    <row r="70" spans="1:5" s="2" customFormat="1" x14ac:dyDescent="0.3">
      <c r="A70" s="13">
        <v>3</v>
      </c>
      <c r="B70" s="332" t="s">
        <v>453</v>
      </c>
      <c r="C70" s="335"/>
      <c r="D70" s="333"/>
      <c r="E70" s="150"/>
    </row>
    <row r="71" spans="1:5" s="2" customFormat="1" x14ac:dyDescent="0.3">
      <c r="A71" s="13">
        <v>4</v>
      </c>
      <c r="B71" s="13" t="s">
        <v>255</v>
      </c>
      <c r="C71" s="335">
        <f>SUM(C72:C73)</f>
        <v>0</v>
      </c>
      <c r="D71" s="115">
        <f>SUM(D72:D73)</f>
        <v>0</v>
      </c>
      <c r="E71" s="150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50"/>
    </row>
    <row r="73" spans="1:5" s="2" customFormat="1" x14ac:dyDescent="0.3">
      <c r="A73" s="15">
        <v>4.2</v>
      </c>
      <c r="B73" s="15" t="s">
        <v>257</v>
      </c>
      <c r="C73" s="8"/>
      <c r="D73" s="8"/>
      <c r="E73" s="150"/>
    </row>
    <row r="74" spans="1:5" s="2" customFormat="1" x14ac:dyDescent="0.3">
      <c r="A74" s="13">
        <v>5</v>
      </c>
      <c r="B74" s="330" t="s">
        <v>285</v>
      </c>
      <c r="C74" s="8"/>
      <c r="D74" s="115"/>
      <c r="E74" s="150"/>
    </row>
    <row r="75" spans="1:5" s="2" customFormat="1" ht="30" x14ac:dyDescent="0.3">
      <c r="A75" s="13">
        <v>6</v>
      </c>
      <c r="B75" s="330" t="s">
        <v>464</v>
      </c>
      <c r="C75" s="114">
        <f>SUM(C76:C81)</f>
        <v>0</v>
      </c>
      <c r="D75" s="114">
        <f>SUM(D76:D81)</f>
        <v>0</v>
      </c>
      <c r="E75" s="150"/>
    </row>
    <row r="76" spans="1:5" s="2" customFormat="1" x14ac:dyDescent="0.3">
      <c r="A76" s="15">
        <v>6.1</v>
      </c>
      <c r="B76" s="15" t="s">
        <v>68</v>
      </c>
      <c r="C76" s="8"/>
      <c r="D76" s="8"/>
      <c r="E76" s="150"/>
    </row>
    <row r="77" spans="1:5" s="2" customFormat="1" x14ac:dyDescent="0.3">
      <c r="A77" s="15">
        <v>6.2</v>
      </c>
      <c r="B77" s="15" t="s">
        <v>74</v>
      </c>
      <c r="C77" s="8"/>
      <c r="D77" s="8"/>
      <c r="E77" s="150"/>
    </row>
    <row r="78" spans="1:5" s="2" customFormat="1" x14ac:dyDescent="0.3">
      <c r="A78" s="15">
        <v>6.3</v>
      </c>
      <c r="B78" s="15" t="s">
        <v>69</v>
      </c>
      <c r="C78" s="8"/>
      <c r="D78" s="8"/>
      <c r="E78" s="150"/>
    </row>
    <row r="79" spans="1:5" s="2" customFormat="1" x14ac:dyDescent="0.3">
      <c r="A79" s="15">
        <v>6.4</v>
      </c>
      <c r="B79" s="15" t="s">
        <v>465</v>
      </c>
      <c r="C79" s="8"/>
      <c r="D79" s="8"/>
      <c r="E79" s="150"/>
    </row>
    <row r="80" spans="1:5" s="2" customFormat="1" x14ac:dyDescent="0.3">
      <c r="A80" s="15">
        <v>6.5</v>
      </c>
      <c r="B80" s="15" t="s">
        <v>466</v>
      </c>
      <c r="C80" s="8"/>
      <c r="D80" s="8"/>
      <c r="E80" s="150"/>
    </row>
    <row r="81" spans="1:9" s="2" customFormat="1" x14ac:dyDescent="0.3">
      <c r="A81" s="15">
        <v>6.6</v>
      </c>
      <c r="B81" s="15" t="s">
        <v>8</v>
      </c>
      <c r="C81" s="8"/>
      <c r="D81" s="8"/>
      <c r="E81" s="150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96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96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91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A6" sqref="A6:C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4" t="s">
        <v>339</v>
      </c>
      <c r="B1" s="107"/>
      <c r="C1" s="535" t="s">
        <v>110</v>
      </c>
      <c r="D1" s="535"/>
      <c r="E1" s="121"/>
    </row>
    <row r="2" spans="1:5" s="6" customFormat="1" x14ac:dyDescent="0.3">
      <c r="A2" s="104" t="s">
        <v>333</v>
      </c>
      <c r="B2" s="107"/>
      <c r="C2" s="533" t="s">
        <v>618</v>
      </c>
      <c r="D2" s="534"/>
      <c r="E2" s="121"/>
    </row>
    <row r="3" spans="1:5" s="6" customFormat="1" x14ac:dyDescent="0.3">
      <c r="A3" s="106" t="s">
        <v>141</v>
      </c>
      <c r="B3" s="104"/>
      <c r="C3" s="216"/>
      <c r="D3" s="216"/>
      <c r="E3" s="121"/>
    </row>
    <row r="4" spans="1:5" s="6" customFormat="1" x14ac:dyDescent="0.3">
      <c r="A4" s="106"/>
      <c r="B4" s="106"/>
      <c r="C4" s="216"/>
      <c r="D4" s="216"/>
      <c r="E4" s="121"/>
    </row>
    <row r="5" spans="1:5" x14ac:dyDescent="0.3">
      <c r="A5" s="107" t="str">
        <f>'ფორმა N2'!A4</f>
        <v>ანგარიშვალდებული პირის დასახელება:</v>
      </c>
      <c r="B5" s="107"/>
      <c r="C5" s="106"/>
      <c r="D5" s="106"/>
      <c r="E5" s="122"/>
    </row>
    <row r="6" spans="1:5" x14ac:dyDescent="0.3">
      <c r="A6" s="272" t="s">
        <v>520</v>
      </c>
      <c r="B6" s="110"/>
      <c r="C6" s="110"/>
      <c r="D6" s="110"/>
      <c r="E6" s="122"/>
    </row>
    <row r="7" spans="1:5" x14ac:dyDescent="0.3">
      <c r="A7" s="107"/>
      <c r="B7" s="107"/>
      <c r="C7" s="106"/>
      <c r="D7" s="106"/>
      <c r="E7" s="122"/>
    </row>
    <row r="8" spans="1:5" s="6" customFormat="1" x14ac:dyDescent="0.3">
      <c r="A8" s="215"/>
      <c r="B8" s="215"/>
      <c r="C8" s="108"/>
      <c r="D8" s="108"/>
      <c r="E8" s="121"/>
    </row>
    <row r="9" spans="1:5" s="6" customFormat="1" ht="30" x14ac:dyDescent="0.3">
      <c r="A9" s="119" t="s">
        <v>64</v>
      </c>
      <c r="B9" s="119" t="s">
        <v>338</v>
      </c>
      <c r="C9" s="109" t="s">
        <v>10</v>
      </c>
      <c r="D9" s="109" t="s">
        <v>9</v>
      </c>
      <c r="E9" s="121"/>
    </row>
    <row r="10" spans="1:5" s="9" customFormat="1" ht="18" x14ac:dyDescent="0.2">
      <c r="A10" s="128" t="s">
        <v>334</v>
      </c>
      <c r="B10" s="128"/>
      <c r="C10" s="4"/>
      <c r="D10" s="4"/>
      <c r="E10" s="123"/>
    </row>
    <row r="11" spans="1:5" s="10" customFormat="1" x14ac:dyDescent="0.2">
      <c r="A11" s="128" t="s">
        <v>335</v>
      </c>
      <c r="B11" s="128"/>
      <c r="C11" s="4"/>
      <c r="D11" s="4"/>
      <c r="E11" s="124"/>
    </row>
    <row r="12" spans="1:5" s="10" customFormat="1" x14ac:dyDescent="0.2">
      <c r="A12" s="117" t="s">
        <v>284</v>
      </c>
      <c r="B12" s="117"/>
      <c r="C12" s="4"/>
      <c r="D12" s="4"/>
      <c r="E12" s="124"/>
    </row>
    <row r="13" spans="1:5" s="10" customFormat="1" x14ac:dyDescent="0.2">
      <c r="A13" s="117" t="s">
        <v>284</v>
      </c>
      <c r="B13" s="117"/>
      <c r="C13" s="4"/>
      <c r="D13" s="4"/>
      <c r="E13" s="124"/>
    </row>
    <row r="14" spans="1:5" s="10" customFormat="1" x14ac:dyDescent="0.2">
      <c r="A14" s="117" t="s">
        <v>284</v>
      </c>
      <c r="B14" s="117"/>
      <c r="C14" s="4"/>
      <c r="D14" s="4"/>
      <c r="E14" s="124"/>
    </row>
    <row r="15" spans="1:5" s="10" customFormat="1" x14ac:dyDescent="0.2">
      <c r="A15" s="117" t="s">
        <v>284</v>
      </c>
      <c r="B15" s="117"/>
      <c r="C15" s="4"/>
      <c r="D15" s="4"/>
      <c r="E15" s="124"/>
    </row>
    <row r="16" spans="1:5" s="10" customFormat="1" x14ac:dyDescent="0.2">
      <c r="A16" s="117" t="s">
        <v>284</v>
      </c>
      <c r="B16" s="117"/>
      <c r="C16" s="4"/>
      <c r="D16" s="4"/>
      <c r="E16" s="124"/>
    </row>
    <row r="17" spans="1:5" s="10" customFormat="1" ht="17.25" customHeight="1" x14ac:dyDescent="0.2">
      <c r="A17" s="128" t="s">
        <v>336</v>
      </c>
      <c r="B17" s="117"/>
      <c r="C17" s="4"/>
      <c r="D17" s="4"/>
      <c r="E17" s="124"/>
    </row>
    <row r="18" spans="1:5" s="10" customFormat="1" ht="18" customHeight="1" x14ac:dyDescent="0.2">
      <c r="A18" s="128" t="s">
        <v>337</v>
      </c>
      <c r="B18" s="117" t="s">
        <v>748</v>
      </c>
      <c r="C18" s="4">
        <v>8856</v>
      </c>
      <c r="D18" s="4">
        <v>8350</v>
      </c>
      <c r="E18" s="124"/>
    </row>
    <row r="19" spans="1:5" s="10" customFormat="1" x14ac:dyDescent="0.2">
      <c r="A19" s="117" t="s">
        <v>284</v>
      </c>
      <c r="B19" s="117" t="s">
        <v>749</v>
      </c>
      <c r="C19" s="4">
        <v>200</v>
      </c>
      <c r="D19" s="4">
        <v>200</v>
      </c>
      <c r="E19" s="124"/>
    </row>
    <row r="20" spans="1:5" s="10" customFormat="1" x14ac:dyDescent="0.2">
      <c r="A20" s="117" t="s">
        <v>284</v>
      </c>
      <c r="B20" s="117" t="s">
        <v>750</v>
      </c>
      <c r="C20" s="4">
        <v>4232</v>
      </c>
      <c r="D20" s="4">
        <v>5066.67</v>
      </c>
      <c r="E20" s="124"/>
    </row>
    <row r="21" spans="1:5" s="10" customFormat="1" x14ac:dyDescent="0.2">
      <c r="A21" s="117" t="s">
        <v>284</v>
      </c>
      <c r="B21" s="117" t="s">
        <v>750</v>
      </c>
      <c r="C21" s="4">
        <v>7855</v>
      </c>
      <c r="D21" s="4"/>
      <c r="E21" s="124"/>
    </row>
    <row r="22" spans="1:5" s="10" customFormat="1" x14ac:dyDescent="0.2">
      <c r="A22" s="117" t="s">
        <v>284</v>
      </c>
      <c r="B22" s="449" t="s">
        <v>751</v>
      </c>
      <c r="C22" s="4">
        <v>453</v>
      </c>
      <c r="D22" s="4"/>
      <c r="E22" s="124"/>
    </row>
    <row r="23" spans="1:5" s="10" customFormat="1" x14ac:dyDescent="0.2">
      <c r="A23" s="117" t="s">
        <v>284</v>
      </c>
      <c r="B23" s="450"/>
      <c r="C23" s="450"/>
      <c r="D23" s="450"/>
      <c r="E23" s="124"/>
    </row>
    <row r="24" spans="1:5" s="3" customFormat="1" x14ac:dyDescent="0.2">
      <c r="A24" s="118"/>
      <c r="B24" s="118"/>
      <c r="C24" s="4"/>
      <c r="D24" s="4"/>
      <c r="E24" s="125"/>
    </row>
    <row r="25" spans="1:5" x14ac:dyDescent="0.3">
      <c r="A25" s="129"/>
      <c r="B25" s="129" t="s">
        <v>340</v>
      </c>
      <c r="C25" s="116">
        <f>SUM(C10:C24)</f>
        <v>21596</v>
      </c>
      <c r="D25" s="116">
        <f>SUM(D10:D24)</f>
        <v>13616.67</v>
      </c>
      <c r="E25" s="126"/>
    </row>
    <row r="26" spans="1:5" x14ac:dyDescent="0.3">
      <c r="A26" s="44"/>
      <c r="B26" s="44"/>
    </row>
    <row r="27" spans="1:5" x14ac:dyDescent="0.3">
      <c r="A27" s="2" t="s">
        <v>437</v>
      </c>
      <c r="E27" s="5"/>
    </row>
    <row r="28" spans="1:5" x14ac:dyDescent="0.3">
      <c r="A28" s="2" t="s">
        <v>423</v>
      </c>
    </row>
    <row r="29" spans="1:5" x14ac:dyDescent="0.3">
      <c r="A29" s="265" t="s">
        <v>424</v>
      </c>
    </row>
    <row r="30" spans="1:5" x14ac:dyDescent="0.3">
      <c r="A30" s="265"/>
    </row>
    <row r="31" spans="1:5" x14ac:dyDescent="0.3">
      <c r="A31" s="265" t="s">
        <v>356</v>
      </c>
    </row>
    <row r="32" spans="1:5" s="23" customFormat="1" ht="12.75" x14ac:dyDescent="0.2"/>
    <row r="33" spans="1:9" x14ac:dyDescent="0.3">
      <c r="A33" s="9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96"/>
      <c r="B36" s="96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91"/>
      <c r="B38" s="91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A6" sqref="A6:C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104" t="s">
        <v>461</v>
      </c>
      <c r="B1" s="106"/>
      <c r="C1" s="536" t="s">
        <v>110</v>
      </c>
      <c r="D1" s="536"/>
    </row>
    <row r="2" spans="1:5" x14ac:dyDescent="0.3">
      <c r="A2" s="104" t="s">
        <v>462</v>
      </c>
      <c r="B2" s="106"/>
      <c r="C2" s="533" t="s">
        <v>618</v>
      </c>
      <c r="D2" s="534"/>
    </row>
    <row r="3" spans="1:5" x14ac:dyDescent="0.3">
      <c r="A3" s="106" t="s">
        <v>141</v>
      </c>
      <c r="B3" s="106"/>
      <c r="C3" s="105"/>
      <c r="D3" s="105"/>
    </row>
    <row r="4" spans="1:5" x14ac:dyDescent="0.3">
      <c r="A4" s="104"/>
      <c r="B4" s="106"/>
      <c r="C4" s="105"/>
      <c r="D4" s="105"/>
    </row>
    <row r="5" spans="1:5" x14ac:dyDescent="0.3">
      <c r="A5" s="107" t="str">
        <f>'ფორმა N2'!A4</f>
        <v>ანგარიშვალდებული პირის დასახელება:</v>
      </c>
      <c r="B5" s="107"/>
      <c r="C5" s="107"/>
      <c r="D5" s="106"/>
      <c r="E5" s="5"/>
    </row>
    <row r="6" spans="1:5" x14ac:dyDescent="0.3">
      <c r="A6" s="272" t="s">
        <v>520</v>
      </c>
      <c r="B6" s="110"/>
      <c r="C6" s="110"/>
      <c r="D6" s="59"/>
      <c r="E6" s="5"/>
    </row>
    <row r="7" spans="1:5" x14ac:dyDescent="0.3">
      <c r="A7" s="107"/>
      <c r="B7" s="107"/>
      <c r="C7" s="107"/>
      <c r="D7" s="106"/>
      <c r="E7" s="5"/>
    </row>
    <row r="8" spans="1:5" s="6" customFormat="1" x14ac:dyDescent="0.3">
      <c r="A8" s="130"/>
      <c r="B8" s="130"/>
      <c r="C8" s="108"/>
      <c r="D8" s="108"/>
    </row>
    <row r="9" spans="1:5" s="6" customFormat="1" ht="30" x14ac:dyDescent="0.3">
      <c r="A9" s="151" t="s">
        <v>64</v>
      </c>
      <c r="B9" s="109" t="s">
        <v>11</v>
      </c>
      <c r="C9" s="109" t="s">
        <v>10</v>
      </c>
      <c r="D9" s="109" t="s">
        <v>9</v>
      </c>
    </row>
    <row r="10" spans="1:5" s="7" customFormat="1" x14ac:dyDescent="0.2">
      <c r="A10" s="13">
        <v>1</v>
      </c>
      <c r="B10" s="13" t="s">
        <v>108</v>
      </c>
      <c r="C10" s="112">
        <f>SUM(C11,C14,C17,C20:C22)</f>
        <v>72648</v>
      </c>
      <c r="D10" s="112">
        <f>SUM(D11,D14,D17,D20:D22)</f>
        <v>72648</v>
      </c>
    </row>
    <row r="11" spans="1:5" s="9" customFormat="1" ht="18" x14ac:dyDescent="0.2">
      <c r="A11" s="14">
        <v>1.1000000000000001</v>
      </c>
      <c r="B11" s="14" t="s">
        <v>68</v>
      </c>
      <c r="C11" s="112">
        <f>SUM(C12:C13)</f>
        <v>0</v>
      </c>
      <c r="D11" s="11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112">
        <f>SUM(C15:C16)</f>
        <v>0</v>
      </c>
      <c r="D14" s="112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112">
        <f>SUM(C18:C19)</f>
        <v>12218</v>
      </c>
      <c r="D17" s="112">
        <f>SUM(D18:D19)</f>
        <v>12218</v>
      </c>
    </row>
    <row r="18" spans="1:9" x14ac:dyDescent="0.3">
      <c r="A18" s="16" t="s">
        <v>50</v>
      </c>
      <c r="B18" s="16" t="s">
        <v>75</v>
      </c>
      <c r="C18" s="33">
        <v>5646</v>
      </c>
      <c r="D18" s="34">
        <v>5646</v>
      </c>
    </row>
    <row r="19" spans="1:9" x14ac:dyDescent="0.3">
      <c r="A19" s="16" t="s">
        <v>51</v>
      </c>
      <c r="B19" s="16" t="s">
        <v>76</v>
      </c>
      <c r="C19" s="33">
        <v>6572</v>
      </c>
      <c r="D19" s="34">
        <v>6572</v>
      </c>
    </row>
    <row r="20" spans="1:9" x14ac:dyDescent="0.3">
      <c r="A20" s="14">
        <v>1.4</v>
      </c>
      <c r="B20" s="14" t="s">
        <v>77</v>
      </c>
      <c r="C20" s="33">
        <v>60430</v>
      </c>
      <c r="D20" s="34">
        <v>60430</v>
      </c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96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96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91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O33" sqref="O3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4" t="s">
        <v>463</v>
      </c>
      <c r="B1" s="107"/>
      <c r="C1" s="535" t="s">
        <v>110</v>
      </c>
      <c r="D1" s="535"/>
      <c r="E1" s="121"/>
    </row>
    <row r="2" spans="1:5" s="6" customFormat="1" x14ac:dyDescent="0.3">
      <c r="A2" s="104" t="s">
        <v>460</v>
      </c>
      <c r="B2" s="107"/>
      <c r="C2" s="533" t="s">
        <v>618</v>
      </c>
      <c r="D2" s="534"/>
      <c r="E2" s="121"/>
    </row>
    <row r="3" spans="1:5" s="6" customFormat="1" x14ac:dyDescent="0.3">
      <c r="A3" s="106" t="s">
        <v>141</v>
      </c>
      <c r="B3" s="104"/>
      <c r="C3" s="216"/>
      <c r="D3" s="216"/>
      <c r="E3" s="121"/>
    </row>
    <row r="4" spans="1:5" s="6" customFormat="1" x14ac:dyDescent="0.3">
      <c r="A4" s="106"/>
      <c r="B4" s="106"/>
      <c r="C4" s="216"/>
      <c r="D4" s="216"/>
      <c r="E4" s="121"/>
    </row>
    <row r="5" spans="1:5" x14ac:dyDescent="0.3">
      <c r="A5" s="107" t="str">
        <f>'ფორმა N2'!A4</f>
        <v>ანგარიშვალდებული პირის დასახელება:</v>
      </c>
      <c r="B5" s="107"/>
      <c r="C5" s="106"/>
      <c r="D5" s="106"/>
      <c r="E5" s="122"/>
    </row>
    <row r="6" spans="1:5" x14ac:dyDescent="0.3">
      <c r="A6" s="272" t="s">
        <v>520</v>
      </c>
      <c r="B6" s="110"/>
      <c r="C6" s="110"/>
      <c r="D6" s="111"/>
      <c r="E6" s="122"/>
    </row>
    <row r="7" spans="1:5" x14ac:dyDescent="0.3">
      <c r="A7" s="107"/>
      <c r="B7" s="107"/>
      <c r="C7" s="106"/>
      <c r="D7" s="106"/>
      <c r="E7" s="122"/>
    </row>
    <row r="8" spans="1:5" s="6" customFormat="1" x14ac:dyDescent="0.3">
      <c r="A8" s="215"/>
      <c r="B8" s="215"/>
      <c r="C8" s="108"/>
      <c r="D8" s="108"/>
      <c r="E8" s="121"/>
    </row>
    <row r="9" spans="1:5" s="6" customFormat="1" ht="30" x14ac:dyDescent="0.3">
      <c r="A9" s="119" t="s">
        <v>64</v>
      </c>
      <c r="B9" s="119" t="s">
        <v>338</v>
      </c>
      <c r="C9" s="109" t="s">
        <v>10</v>
      </c>
      <c r="D9" s="109" t="s">
        <v>9</v>
      </c>
      <c r="E9" s="121"/>
    </row>
    <row r="10" spans="1:5" s="9" customFormat="1" ht="18" x14ac:dyDescent="0.2">
      <c r="A10" s="128" t="s">
        <v>303</v>
      </c>
      <c r="B10" s="128"/>
      <c r="C10" s="4"/>
      <c r="D10" s="4"/>
      <c r="E10" s="123"/>
    </row>
    <row r="11" spans="1:5" s="10" customFormat="1" x14ac:dyDescent="0.2">
      <c r="A11" s="128" t="s">
        <v>304</v>
      </c>
      <c r="B11" s="128"/>
      <c r="C11" s="4"/>
      <c r="D11" s="4"/>
      <c r="E11" s="124"/>
    </row>
    <row r="12" spans="1:5" s="10" customFormat="1" x14ac:dyDescent="0.2">
      <c r="A12" s="128" t="s">
        <v>305</v>
      </c>
      <c r="B12" s="117"/>
      <c r="C12" s="4"/>
      <c r="D12" s="4"/>
      <c r="E12" s="124"/>
    </row>
    <row r="13" spans="1:5" s="10" customFormat="1" x14ac:dyDescent="0.2">
      <c r="A13" s="117" t="s">
        <v>284</v>
      </c>
      <c r="B13" s="117"/>
      <c r="C13" s="4"/>
      <c r="D13" s="4"/>
      <c r="E13" s="124"/>
    </row>
    <row r="14" spans="1:5" s="10" customFormat="1" x14ac:dyDescent="0.2">
      <c r="A14" s="117" t="s">
        <v>284</v>
      </c>
      <c r="B14" s="117"/>
      <c r="C14" s="4"/>
      <c r="D14" s="4"/>
      <c r="E14" s="124"/>
    </row>
    <row r="15" spans="1:5" s="10" customFormat="1" x14ac:dyDescent="0.2">
      <c r="A15" s="117" t="s">
        <v>284</v>
      </c>
      <c r="B15" s="117"/>
      <c r="C15" s="4"/>
      <c r="D15" s="4"/>
      <c r="E15" s="124"/>
    </row>
    <row r="16" spans="1:5" s="10" customFormat="1" x14ac:dyDescent="0.2">
      <c r="A16" s="117" t="s">
        <v>284</v>
      </c>
      <c r="B16" s="117"/>
      <c r="C16" s="4"/>
      <c r="D16" s="4"/>
      <c r="E16" s="124"/>
    </row>
    <row r="17" spans="1:9" x14ac:dyDescent="0.3">
      <c r="A17" s="129"/>
      <c r="B17" s="129" t="s">
        <v>340</v>
      </c>
      <c r="C17" s="116">
        <f>SUM(C10:C16)</f>
        <v>0</v>
      </c>
      <c r="D17" s="116">
        <f>SUM(D10:D16)</f>
        <v>0</v>
      </c>
      <c r="E17" s="126"/>
    </row>
    <row r="18" spans="1:9" x14ac:dyDescent="0.3">
      <c r="A18" s="44"/>
      <c r="B18" s="44"/>
    </row>
    <row r="19" spans="1:9" x14ac:dyDescent="0.3">
      <c r="A19" s="2" t="s">
        <v>406</v>
      </c>
      <c r="E19" s="5"/>
    </row>
    <row r="20" spans="1:9" x14ac:dyDescent="0.3">
      <c r="A20" s="2" t="s">
        <v>408</v>
      </c>
    </row>
    <row r="21" spans="1:9" x14ac:dyDescent="0.3">
      <c r="A21" s="265"/>
    </row>
    <row r="22" spans="1:9" x14ac:dyDescent="0.3">
      <c r="A22" s="265" t="s">
        <v>407</v>
      </c>
    </row>
    <row r="23" spans="1:9" s="23" customFormat="1" ht="12.75" x14ac:dyDescent="0.2"/>
    <row r="24" spans="1:9" x14ac:dyDescent="0.3">
      <c r="A24" s="9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96"/>
      <c r="B27" s="96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91"/>
      <c r="B29" s="91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SheetLayoutView="70" workbookViewId="0">
      <selection activeCell="D61" sqref="D61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7" x14ac:dyDescent="0.3">
      <c r="A1" s="104" t="s">
        <v>225</v>
      </c>
      <c r="B1" s="166"/>
      <c r="C1" s="537" t="s">
        <v>199</v>
      </c>
      <c r="D1" s="537"/>
      <c r="E1" s="150"/>
    </row>
    <row r="2" spans="1:7" x14ac:dyDescent="0.3">
      <c r="A2" s="106" t="s">
        <v>141</v>
      </c>
      <c r="B2" s="166"/>
      <c r="C2" s="533" t="s">
        <v>618</v>
      </c>
      <c r="D2" s="534"/>
      <c r="E2" s="150"/>
    </row>
    <row r="3" spans="1:7" x14ac:dyDescent="0.3">
      <c r="A3" s="163"/>
      <c r="B3" s="166"/>
      <c r="C3" s="107"/>
      <c r="D3" s="107"/>
      <c r="E3" s="150"/>
    </row>
    <row r="4" spans="1:7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55"/>
    </row>
    <row r="5" spans="1:7" x14ac:dyDescent="0.3">
      <c r="A5" s="272" t="s">
        <v>520</v>
      </c>
      <c r="B5" s="110"/>
      <c r="C5" s="110"/>
      <c r="D5" s="110"/>
      <c r="E5" s="110"/>
      <c r="F5" s="110"/>
      <c r="G5" s="106"/>
    </row>
    <row r="6" spans="1:7" x14ac:dyDescent="0.3">
      <c r="A6" s="107"/>
      <c r="B6" s="106"/>
      <c r="C6" s="106"/>
      <c r="D6" s="106"/>
      <c r="E6" s="155"/>
    </row>
    <row r="7" spans="1:7" x14ac:dyDescent="0.3">
      <c r="A7" s="162"/>
      <c r="B7" s="167"/>
      <c r="C7" s="168"/>
      <c r="D7" s="168"/>
      <c r="E7" s="150"/>
    </row>
    <row r="8" spans="1:7" ht="45" x14ac:dyDescent="0.3">
      <c r="A8" s="169" t="s">
        <v>114</v>
      </c>
      <c r="B8" s="169" t="s">
        <v>191</v>
      </c>
      <c r="C8" s="169" t="s">
        <v>309</v>
      </c>
      <c r="D8" s="169" t="s">
        <v>260</v>
      </c>
      <c r="E8" s="150"/>
    </row>
    <row r="9" spans="1:7" x14ac:dyDescent="0.3">
      <c r="A9" s="49"/>
      <c r="B9" s="50"/>
      <c r="C9" s="211"/>
      <c r="D9" s="211"/>
      <c r="E9" s="150"/>
    </row>
    <row r="10" spans="1:7" x14ac:dyDescent="0.3">
      <c r="A10" s="51" t="s">
        <v>192</v>
      </c>
      <c r="B10" s="52"/>
      <c r="C10" s="170">
        <f>SUM(C11,C34)</f>
        <v>139223.6</v>
      </c>
      <c r="D10" s="170">
        <f>SUM(D11,D34)</f>
        <v>36578.949999999997</v>
      </c>
      <c r="E10" s="150"/>
    </row>
    <row r="11" spans="1:7" x14ac:dyDescent="0.3">
      <c r="A11" s="53" t="s">
        <v>193</v>
      </c>
      <c r="B11" s="54"/>
      <c r="C11" s="115">
        <f>SUM(C12:C32)</f>
        <v>3788.6</v>
      </c>
      <c r="D11" s="115">
        <f>SUM(D12:D32)</f>
        <v>19172.95</v>
      </c>
      <c r="E11" s="150"/>
    </row>
    <row r="12" spans="1:7" x14ac:dyDescent="0.3">
      <c r="A12" s="57">
        <v>1110</v>
      </c>
      <c r="B12" s="56" t="s">
        <v>143</v>
      </c>
      <c r="C12" s="8"/>
      <c r="D12" s="8"/>
      <c r="E12" s="150"/>
    </row>
    <row r="13" spans="1:7" x14ac:dyDescent="0.3">
      <c r="A13" s="57">
        <v>1120</v>
      </c>
      <c r="B13" s="56" t="s">
        <v>144</v>
      </c>
      <c r="C13" s="8"/>
      <c r="D13" s="8"/>
      <c r="E13" s="150"/>
    </row>
    <row r="14" spans="1:7" x14ac:dyDescent="0.3">
      <c r="A14" s="57">
        <v>1211</v>
      </c>
      <c r="B14" s="56" t="s">
        <v>145</v>
      </c>
      <c r="C14" s="8">
        <v>3006.02</v>
      </c>
      <c r="D14" s="8">
        <v>12635.59</v>
      </c>
      <c r="E14" s="150"/>
    </row>
    <row r="15" spans="1:7" x14ac:dyDescent="0.3">
      <c r="A15" s="57">
        <v>1212</v>
      </c>
      <c r="B15" s="56" t="s">
        <v>146</v>
      </c>
      <c r="C15" s="8"/>
      <c r="D15" s="8"/>
      <c r="E15" s="150"/>
    </row>
    <row r="16" spans="1:7" x14ac:dyDescent="0.3">
      <c r="A16" s="57">
        <v>1213</v>
      </c>
      <c r="B16" s="56" t="s">
        <v>147</v>
      </c>
      <c r="C16" s="8"/>
      <c r="D16" s="8"/>
      <c r="E16" s="150"/>
    </row>
    <row r="17" spans="1:5" x14ac:dyDescent="0.3">
      <c r="A17" s="57">
        <v>1214</v>
      </c>
      <c r="B17" s="56" t="s">
        <v>148</v>
      </c>
      <c r="C17" s="8"/>
      <c r="D17" s="8"/>
      <c r="E17" s="150"/>
    </row>
    <row r="18" spans="1:5" x14ac:dyDescent="0.3">
      <c r="A18" s="57">
        <v>1215</v>
      </c>
      <c r="B18" s="56" t="s">
        <v>149</v>
      </c>
      <c r="C18" s="8"/>
      <c r="D18" s="8">
        <v>3000</v>
      </c>
      <c r="E18" s="150"/>
    </row>
    <row r="19" spans="1:5" x14ac:dyDescent="0.3">
      <c r="A19" s="57">
        <v>1300</v>
      </c>
      <c r="B19" s="56" t="s">
        <v>150</v>
      </c>
      <c r="C19" s="8"/>
      <c r="D19" s="8"/>
      <c r="E19" s="150"/>
    </row>
    <row r="20" spans="1:5" x14ac:dyDescent="0.3">
      <c r="A20" s="57">
        <v>1410</v>
      </c>
      <c r="B20" s="56" t="s">
        <v>151</v>
      </c>
      <c r="C20" s="8"/>
      <c r="D20" s="8">
        <v>975.77</v>
      </c>
      <c r="E20" s="150"/>
    </row>
    <row r="21" spans="1:5" x14ac:dyDescent="0.3">
      <c r="A21" s="57">
        <v>1421</v>
      </c>
      <c r="B21" s="56" t="s">
        <v>152</v>
      </c>
      <c r="C21" s="8"/>
      <c r="D21" s="8"/>
      <c r="E21" s="150"/>
    </row>
    <row r="22" spans="1:5" x14ac:dyDescent="0.3">
      <c r="A22" s="57">
        <v>1422</v>
      </c>
      <c r="B22" s="56" t="s">
        <v>153</v>
      </c>
      <c r="C22" s="8"/>
      <c r="D22" s="8"/>
      <c r="E22" s="150"/>
    </row>
    <row r="23" spans="1:5" x14ac:dyDescent="0.3">
      <c r="A23" s="57">
        <v>1423</v>
      </c>
      <c r="B23" s="56" t="s">
        <v>154</v>
      </c>
      <c r="C23" s="8"/>
      <c r="D23" s="8"/>
      <c r="E23" s="150"/>
    </row>
    <row r="24" spans="1:5" x14ac:dyDescent="0.3">
      <c r="A24" s="57">
        <v>1431</v>
      </c>
      <c r="B24" s="56" t="s">
        <v>155</v>
      </c>
      <c r="C24" s="8"/>
      <c r="D24" s="8"/>
      <c r="E24" s="150"/>
    </row>
    <row r="25" spans="1:5" x14ac:dyDescent="0.3">
      <c r="A25" s="57">
        <v>1432</v>
      </c>
      <c r="B25" s="56" t="s">
        <v>156</v>
      </c>
      <c r="C25" s="8"/>
      <c r="D25" s="8"/>
      <c r="E25" s="150"/>
    </row>
    <row r="26" spans="1:5" x14ac:dyDescent="0.3">
      <c r="A26" s="57">
        <v>1433</v>
      </c>
      <c r="B26" s="56" t="s">
        <v>157</v>
      </c>
      <c r="C26" s="8">
        <v>782.58</v>
      </c>
      <c r="D26" s="8">
        <v>2051.69</v>
      </c>
      <c r="E26" s="150"/>
    </row>
    <row r="27" spans="1:5" x14ac:dyDescent="0.3">
      <c r="A27" s="57">
        <v>1441</v>
      </c>
      <c r="B27" s="56" t="s">
        <v>158</v>
      </c>
      <c r="C27" s="8"/>
      <c r="D27" s="8">
        <v>462.4</v>
      </c>
      <c r="E27" s="150"/>
    </row>
    <row r="28" spans="1:5" x14ac:dyDescent="0.3">
      <c r="A28" s="57">
        <v>1442</v>
      </c>
      <c r="B28" s="56" t="s">
        <v>159</v>
      </c>
      <c r="C28" s="8"/>
      <c r="D28" s="8">
        <v>47.5</v>
      </c>
      <c r="E28" s="150"/>
    </row>
    <row r="29" spans="1:5" x14ac:dyDescent="0.3">
      <c r="A29" s="57">
        <v>1443</v>
      </c>
      <c r="B29" s="56" t="s">
        <v>160</v>
      </c>
      <c r="C29" s="8"/>
      <c r="D29" s="8"/>
      <c r="E29" s="150"/>
    </row>
    <row r="30" spans="1:5" x14ac:dyDescent="0.3">
      <c r="A30" s="57">
        <v>1444</v>
      </c>
      <c r="B30" s="56" t="s">
        <v>161</v>
      </c>
      <c r="C30" s="8"/>
      <c r="D30" s="8"/>
      <c r="E30" s="150"/>
    </row>
    <row r="31" spans="1:5" x14ac:dyDescent="0.3">
      <c r="A31" s="57">
        <v>1445</v>
      </c>
      <c r="B31" s="56" t="s">
        <v>162</v>
      </c>
      <c r="C31" s="8"/>
      <c r="D31" s="8"/>
      <c r="E31" s="150"/>
    </row>
    <row r="32" spans="1:5" x14ac:dyDescent="0.3">
      <c r="A32" s="57">
        <v>1446</v>
      </c>
      <c r="B32" s="56" t="s">
        <v>163</v>
      </c>
      <c r="C32" s="8"/>
      <c r="D32" s="8"/>
      <c r="E32" s="150"/>
    </row>
    <row r="33" spans="1:5" x14ac:dyDescent="0.3">
      <c r="A33" s="30"/>
      <c r="E33" s="150"/>
    </row>
    <row r="34" spans="1:5" x14ac:dyDescent="0.3">
      <c r="A34" s="58" t="s">
        <v>194</v>
      </c>
      <c r="B34" s="56"/>
      <c r="C34" s="115">
        <f>SUM(C35:C42)</f>
        <v>135435</v>
      </c>
      <c r="D34" s="115">
        <f>SUM(D35:D42)</f>
        <v>17406</v>
      </c>
      <c r="E34" s="150"/>
    </row>
    <row r="35" spans="1:5" x14ac:dyDescent="0.3">
      <c r="A35" s="57">
        <v>2110</v>
      </c>
      <c r="B35" s="56" t="s">
        <v>100</v>
      </c>
      <c r="C35" s="8"/>
      <c r="D35" s="8"/>
      <c r="E35" s="150"/>
    </row>
    <row r="36" spans="1:5" x14ac:dyDescent="0.3">
      <c r="A36" s="57">
        <v>2120</v>
      </c>
      <c r="B36" s="56" t="s">
        <v>164</v>
      </c>
      <c r="C36" s="8">
        <v>135435</v>
      </c>
      <c r="D36" s="8">
        <v>17406</v>
      </c>
      <c r="E36" s="150"/>
    </row>
    <row r="37" spans="1:5" x14ac:dyDescent="0.3">
      <c r="A37" s="57">
        <v>2130</v>
      </c>
      <c r="B37" s="56" t="s">
        <v>101</v>
      </c>
      <c r="C37" s="8"/>
      <c r="D37" s="8"/>
      <c r="E37" s="150"/>
    </row>
    <row r="38" spans="1:5" x14ac:dyDescent="0.3">
      <c r="A38" s="57">
        <v>2140</v>
      </c>
      <c r="B38" s="56" t="s">
        <v>416</v>
      </c>
      <c r="C38" s="8"/>
      <c r="D38" s="8"/>
      <c r="E38" s="150"/>
    </row>
    <row r="39" spans="1:5" x14ac:dyDescent="0.3">
      <c r="A39" s="57">
        <v>2150</v>
      </c>
      <c r="B39" s="56" t="s">
        <v>420</v>
      </c>
      <c r="C39" s="8"/>
      <c r="D39" s="8"/>
      <c r="E39" s="150"/>
    </row>
    <row r="40" spans="1:5" x14ac:dyDescent="0.3">
      <c r="A40" s="57">
        <v>2220</v>
      </c>
      <c r="B40" s="56" t="s">
        <v>102</v>
      </c>
      <c r="C40" s="8"/>
      <c r="D40" s="8"/>
      <c r="E40" s="150"/>
    </row>
    <row r="41" spans="1:5" x14ac:dyDescent="0.3">
      <c r="A41" s="57">
        <v>2300</v>
      </c>
      <c r="B41" s="56" t="s">
        <v>165</v>
      </c>
      <c r="C41" s="8"/>
      <c r="D41" s="8"/>
      <c r="E41" s="150"/>
    </row>
    <row r="42" spans="1:5" x14ac:dyDescent="0.3">
      <c r="A42" s="57">
        <v>2400</v>
      </c>
      <c r="B42" s="56" t="s">
        <v>166</v>
      </c>
      <c r="C42" s="8"/>
      <c r="D42" s="8"/>
      <c r="E42" s="150"/>
    </row>
    <row r="43" spans="1:5" x14ac:dyDescent="0.3">
      <c r="A43" s="31"/>
      <c r="E43" s="150"/>
    </row>
    <row r="44" spans="1:5" x14ac:dyDescent="0.3">
      <c r="A44" s="55" t="s">
        <v>198</v>
      </c>
      <c r="B44" s="56"/>
      <c r="C44" s="115">
        <f>SUM(C45,C64)</f>
        <v>139223.6</v>
      </c>
      <c r="D44" s="115">
        <f>SUM(D45,D64)</f>
        <v>36578.950000000012</v>
      </c>
      <c r="E44" s="150"/>
    </row>
    <row r="45" spans="1:5" x14ac:dyDescent="0.3">
      <c r="A45" s="58" t="s">
        <v>195</v>
      </c>
      <c r="B45" s="56"/>
      <c r="C45" s="115">
        <f>SUM(C46:C61)</f>
        <v>30304.12</v>
      </c>
      <c r="D45" s="115">
        <f>SUM(D46:D61)</f>
        <v>245813.39</v>
      </c>
      <c r="E45" s="150"/>
    </row>
    <row r="46" spans="1:5" x14ac:dyDescent="0.3">
      <c r="A46" s="57">
        <v>3100</v>
      </c>
      <c r="B46" s="56" t="s">
        <v>167</v>
      </c>
      <c r="C46" s="8"/>
      <c r="D46" s="8"/>
      <c r="E46" s="150"/>
    </row>
    <row r="47" spans="1:5" x14ac:dyDescent="0.3">
      <c r="A47" s="57">
        <v>3210</v>
      </c>
      <c r="B47" s="56" t="s">
        <v>168</v>
      </c>
      <c r="C47" s="8">
        <v>2004.36</v>
      </c>
      <c r="D47" s="8">
        <v>235479.39</v>
      </c>
      <c r="E47" s="150"/>
    </row>
    <row r="48" spans="1:5" x14ac:dyDescent="0.3">
      <c r="A48" s="57">
        <v>3221</v>
      </c>
      <c r="B48" s="56" t="s">
        <v>169</v>
      </c>
      <c r="C48" s="8">
        <v>134</v>
      </c>
      <c r="D48" s="8">
        <v>134</v>
      </c>
      <c r="E48" s="150"/>
    </row>
    <row r="49" spans="1:5" x14ac:dyDescent="0.3">
      <c r="A49" s="57">
        <v>3222</v>
      </c>
      <c r="B49" s="56" t="s">
        <v>170</v>
      </c>
      <c r="C49" s="8"/>
      <c r="D49" s="8"/>
      <c r="E49" s="150"/>
    </row>
    <row r="50" spans="1:5" x14ac:dyDescent="0.3">
      <c r="A50" s="57">
        <v>3223</v>
      </c>
      <c r="B50" s="56" t="s">
        <v>171</v>
      </c>
      <c r="C50" s="8"/>
      <c r="D50" s="8"/>
      <c r="E50" s="150"/>
    </row>
    <row r="51" spans="1:5" x14ac:dyDescent="0.3">
      <c r="A51" s="57">
        <v>3224</v>
      </c>
      <c r="B51" s="56" t="s">
        <v>172</v>
      </c>
      <c r="C51" s="8"/>
      <c r="D51" s="8"/>
      <c r="E51" s="150"/>
    </row>
    <row r="52" spans="1:5" x14ac:dyDescent="0.3">
      <c r="A52" s="57">
        <v>3231</v>
      </c>
      <c r="B52" s="56" t="s">
        <v>173</v>
      </c>
      <c r="C52" s="8"/>
      <c r="D52" s="8"/>
      <c r="E52" s="150"/>
    </row>
    <row r="53" spans="1:5" x14ac:dyDescent="0.3">
      <c r="A53" s="57">
        <v>3232</v>
      </c>
      <c r="B53" s="56" t="s">
        <v>174</v>
      </c>
      <c r="C53" s="8"/>
      <c r="D53" s="8"/>
      <c r="E53" s="150"/>
    </row>
    <row r="54" spans="1:5" x14ac:dyDescent="0.3">
      <c r="A54" s="57">
        <v>3234</v>
      </c>
      <c r="B54" s="56" t="s">
        <v>175</v>
      </c>
      <c r="C54" s="8"/>
      <c r="D54" s="8"/>
      <c r="E54" s="150"/>
    </row>
    <row r="55" spans="1:5" ht="30" x14ac:dyDescent="0.3">
      <c r="A55" s="57">
        <v>3236</v>
      </c>
      <c r="B55" s="56" t="s">
        <v>190</v>
      </c>
      <c r="C55" s="8"/>
      <c r="D55" s="8"/>
      <c r="E55" s="150"/>
    </row>
    <row r="56" spans="1:5" ht="45" x14ac:dyDescent="0.3">
      <c r="A56" s="57">
        <v>3237</v>
      </c>
      <c r="B56" s="56" t="s">
        <v>176</v>
      </c>
      <c r="C56" s="8"/>
      <c r="D56" s="8"/>
      <c r="E56" s="150"/>
    </row>
    <row r="57" spans="1:5" x14ac:dyDescent="0.3">
      <c r="A57" s="57">
        <v>3241</v>
      </c>
      <c r="B57" s="56" t="s">
        <v>177</v>
      </c>
      <c r="C57" s="8"/>
      <c r="D57" s="8"/>
      <c r="E57" s="150"/>
    </row>
    <row r="58" spans="1:5" x14ac:dyDescent="0.3">
      <c r="A58" s="57">
        <v>3242</v>
      </c>
      <c r="B58" s="56" t="s">
        <v>178</v>
      </c>
      <c r="C58" s="8"/>
      <c r="D58" s="8"/>
      <c r="E58" s="150"/>
    </row>
    <row r="59" spans="1:5" x14ac:dyDescent="0.3">
      <c r="A59" s="57">
        <v>3243</v>
      </c>
      <c r="B59" s="56" t="s">
        <v>179</v>
      </c>
      <c r="C59" s="8"/>
      <c r="D59" s="8"/>
      <c r="E59" s="150"/>
    </row>
    <row r="60" spans="1:5" x14ac:dyDescent="0.3">
      <c r="A60" s="57">
        <v>3245</v>
      </c>
      <c r="B60" s="56" t="s">
        <v>180</v>
      </c>
      <c r="C60" s="8"/>
      <c r="D60" s="8"/>
      <c r="E60" s="150"/>
    </row>
    <row r="61" spans="1:5" x14ac:dyDescent="0.3">
      <c r="A61" s="57">
        <v>3246</v>
      </c>
      <c r="B61" s="56" t="s">
        <v>181</v>
      </c>
      <c r="C61" s="8">
        <v>28165.759999999998</v>
      </c>
      <c r="D61" s="8">
        <v>10200</v>
      </c>
      <c r="E61" s="150"/>
    </row>
    <row r="62" spans="1:5" x14ac:dyDescent="0.3">
      <c r="A62" s="31"/>
      <c r="E62" s="150"/>
    </row>
    <row r="63" spans="1:5" x14ac:dyDescent="0.3">
      <c r="A63" s="32"/>
      <c r="E63" s="150"/>
    </row>
    <row r="64" spans="1:5" x14ac:dyDescent="0.3">
      <c r="A64" s="58" t="s">
        <v>196</v>
      </c>
      <c r="B64" s="56"/>
      <c r="C64" s="115">
        <f>SUM(C65:C67)</f>
        <v>108919.48</v>
      </c>
      <c r="D64" s="115">
        <f>SUM(D65:D67)</f>
        <v>-209234.44</v>
      </c>
      <c r="E64" s="150"/>
    </row>
    <row r="65" spans="1:5" x14ac:dyDescent="0.3">
      <c r="A65" s="57">
        <v>5100</v>
      </c>
      <c r="B65" s="56" t="s">
        <v>258</v>
      </c>
      <c r="C65" s="8"/>
      <c r="D65" s="8"/>
      <c r="E65" s="150"/>
    </row>
    <row r="66" spans="1:5" x14ac:dyDescent="0.3">
      <c r="A66" s="57">
        <v>5220</v>
      </c>
      <c r="B66" s="56" t="s">
        <v>438</v>
      </c>
      <c r="C66" s="8">
        <v>108919.48</v>
      </c>
      <c r="D66" s="8">
        <v>-209234.44</v>
      </c>
      <c r="E66" s="150"/>
    </row>
    <row r="67" spans="1:5" x14ac:dyDescent="0.3">
      <c r="A67" s="57">
        <v>5230</v>
      </c>
      <c r="B67" s="56" t="s">
        <v>439</v>
      </c>
      <c r="C67" s="8"/>
      <c r="D67" s="8"/>
      <c r="E67" s="150"/>
    </row>
    <row r="68" spans="1:5" x14ac:dyDescent="0.3">
      <c r="A68" s="31"/>
      <c r="E68" s="150"/>
    </row>
    <row r="69" spans="1:5" x14ac:dyDescent="0.3">
      <c r="A69" s="2"/>
      <c r="E69" s="150"/>
    </row>
    <row r="70" spans="1:5" x14ac:dyDescent="0.3">
      <c r="A70" s="55" t="s">
        <v>197</v>
      </c>
      <c r="B70" s="56"/>
      <c r="C70" s="8"/>
      <c r="D70" s="8"/>
      <c r="E70" s="150"/>
    </row>
    <row r="71" spans="1:5" ht="30" x14ac:dyDescent="0.3">
      <c r="A71" s="57">
        <v>1</v>
      </c>
      <c r="B71" s="56" t="s">
        <v>182</v>
      </c>
      <c r="C71" s="8"/>
      <c r="D71" s="8"/>
      <c r="E71" s="150"/>
    </row>
    <row r="72" spans="1:5" x14ac:dyDescent="0.3">
      <c r="A72" s="57">
        <v>2</v>
      </c>
      <c r="B72" s="56" t="s">
        <v>183</v>
      </c>
      <c r="C72" s="8"/>
      <c r="D72" s="8"/>
      <c r="E72" s="150"/>
    </row>
    <row r="73" spans="1:5" x14ac:dyDescent="0.3">
      <c r="A73" s="57">
        <v>3</v>
      </c>
      <c r="B73" s="56" t="s">
        <v>184</v>
      </c>
      <c r="C73" s="8"/>
      <c r="D73" s="8"/>
      <c r="E73" s="150"/>
    </row>
    <row r="74" spans="1:5" x14ac:dyDescent="0.3">
      <c r="A74" s="57">
        <v>4</v>
      </c>
      <c r="B74" s="56" t="s">
        <v>371</v>
      </c>
      <c r="C74" s="8"/>
      <c r="D74" s="8"/>
      <c r="E74" s="150"/>
    </row>
    <row r="75" spans="1:5" x14ac:dyDescent="0.3">
      <c r="A75" s="57">
        <v>5</v>
      </c>
      <c r="B75" s="56" t="s">
        <v>185</v>
      </c>
      <c r="C75" s="8"/>
      <c r="D75" s="8"/>
      <c r="E75" s="150"/>
    </row>
    <row r="76" spans="1:5" x14ac:dyDescent="0.3">
      <c r="A76" s="57">
        <v>6</v>
      </c>
      <c r="B76" s="56" t="s">
        <v>186</v>
      </c>
      <c r="C76" s="8"/>
      <c r="D76" s="8"/>
      <c r="E76" s="150"/>
    </row>
    <row r="77" spans="1:5" x14ac:dyDescent="0.3">
      <c r="A77" s="57">
        <v>7</v>
      </c>
      <c r="B77" s="56" t="s">
        <v>187</v>
      </c>
      <c r="C77" s="8"/>
      <c r="D77" s="8"/>
      <c r="E77" s="150"/>
    </row>
    <row r="78" spans="1:5" x14ac:dyDescent="0.3">
      <c r="A78" s="57">
        <v>8</v>
      </c>
      <c r="B78" s="56" t="s">
        <v>188</v>
      </c>
      <c r="C78" s="8"/>
      <c r="D78" s="8"/>
      <c r="E78" s="150"/>
    </row>
    <row r="79" spans="1:5" x14ac:dyDescent="0.3">
      <c r="A79" s="57">
        <v>9</v>
      </c>
      <c r="B79" s="56" t="s">
        <v>189</v>
      </c>
      <c r="C79" s="8"/>
      <c r="D79" s="8"/>
      <c r="E79" s="150"/>
    </row>
    <row r="83" spans="1:9" x14ac:dyDescent="0.3">
      <c r="A83" s="2"/>
      <c r="B83" s="2"/>
    </row>
    <row r="84" spans="1:9" x14ac:dyDescent="0.3">
      <c r="A84" s="96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96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91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04" t="s">
        <v>457</v>
      </c>
      <c r="B1" s="106"/>
      <c r="C1" s="106"/>
      <c r="D1" s="106"/>
      <c r="E1" s="106"/>
      <c r="F1" s="106"/>
      <c r="G1" s="106"/>
      <c r="H1" s="106"/>
      <c r="I1" s="535" t="s">
        <v>110</v>
      </c>
      <c r="J1" s="535"/>
      <c r="K1" s="150"/>
    </row>
    <row r="2" spans="1:11" x14ac:dyDescent="0.3">
      <c r="A2" s="106" t="s">
        <v>141</v>
      </c>
      <c r="B2" s="106"/>
      <c r="C2" s="106"/>
      <c r="D2" s="106"/>
      <c r="E2" s="106"/>
      <c r="F2" s="106"/>
      <c r="G2" s="106"/>
      <c r="H2" s="106"/>
      <c r="I2" s="533" t="s">
        <v>618</v>
      </c>
      <c r="J2" s="534"/>
      <c r="K2" s="150"/>
    </row>
    <row r="3" spans="1:11" x14ac:dyDescent="0.3">
      <c r="A3" s="106"/>
      <c r="B3" s="106"/>
      <c r="C3" s="106"/>
      <c r="D3" s="106"/>
      <c r="E3" s="106"/>
      <c r="F3" s="106"/>
      <c r="G3" s="106"/>
      <c r="H3" s="106"/>
      <c r="I3" s="105"/>
      <c r="J3" s="105"/>
      <c r="K3" s="150"/>
    </row>
    <row r="4" spans="1:11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6"/>
      <c r="F4" s="171"/>
      <c r="G4" s="106"/>
      <c r="H4" s="106"/>
      <c r="I4" s="106"/>
      <c r="J4" s="106"/>
      <c r="K4" s="150"/>
    </row>
    <row r="5" spans="1:11" x14ac:dyDescent="0.3">
      <c r="A5" s="287" t="str">
        <f>'ფორმა N1'!D4</f>
        <v xml:space="preserve"> </v>
      </c>
      <c r="B5" s="288"/>
      <c r="C5" s="288"/>
      <c r="D5" s="288"/>
      <c r="E5" s="288"/>
      <c r="F5" s="289"/>
      <c r="G5" s="288"/>
      <c r="H5" s="288"/>
      <c r="I5" s="288"/>
      <c r="J5" s="288"/>
      <c r="K5" s="150"/>
    </row>
    <row r="6" spans="1:11" x14ac:dyDescent="0.3">
      <c r="A6" s="272" t="s">
        <v>520</v>
      </c>
      <c r="B6" s="110"/>
      <c r="C6" s="110"/>
      <c r="D6" s="110"/>
      <c r="E6" s="110"/>
      <c r="F6" s="110"/>
      <c r="G6" s="106"/>
      <c r="H6" s="106"/>
      <c r="I6" s="106"/>
      <c r="J6" s="106"/>
      <c r="K6" s="150"/>
    </row>
    <row r="7" spans="1:11" x14ac:dyDescent="0.3">
      <c r="A7" s="172"/>
      <c r="B7" s="168"/>
      <c r="C7" s="168"/>
      <c r="D7" s="168"/>
      <c r="E7" s="168"/>
      <c r="F7" s="168"/>
      <c r="G7" s="168"/>
      <c r="H7" s="168"/>
      <c r="I7" s="168"/>
      <c r="J7" s="168"/>
      <c r="K7" s="150"/>
    </row>
    <row r="8" spans="1:11" s="27" customFormat="1" ht="45" x14ac:dyDescent="0.3">
      <c r="A8" s="174" t="s">
        <v>64</v>
      </c>
      <c r="B8" s="174" t="s">
        <v>112</v>
      </c>
      <c r="C8" s="175" t="s">
        <v>114</v>
      </c>
      <c r="D8" s="175" t="s">
        <v>278</v>
      </c>
      <c r="E8" s="175" t="s">
        <v>113</v>
      </c>
      <c r="F8" s="173" t="s">
        <v>259</v>
      </c>
      <c r="G8" s="173" t="s">
        <v>300</v>
      </c>
      <c r="H8" s="173" t="s">
        <v>301</v>
      </c>
      <c r="I8" s="173" t="s">
        <v>260</v>
      </c>
      <c r="J8" s="176" t="s">
        <v>115</v>
      </c>
      <c r="K8" s="150"/>
    </row>
    <row r="9" spans="1:11" s="27" customFormat="1" x14ac:dyDescent="0.3">
      <c r="A9" s="212">
        <v>1</v>
      </c>
      <c r="B9" s="212">
        <v>2</v>
      </c>
      <c r="C9" s="213">
        <v>3</v>
      </c>
      <c r="D9" s="213">
        <v>4</v>
      </c>
      <c r="E9" s="213">
        <v>5</v>
      </c>
      <c r="F9" s="213">
        <v>6</v>
      </c>
      <c r="G9" s="213">
        <v>7</v>
      </c>
      <c r="H9" s="213">
        <v>8</v>
      </c>
      <c r="I9" s="213">
        <v>9</v>
      </c>
      <c r="J9" s="213">
        <v>10</v>
      </c>
      <c r="K9" s="150"/>
    </row>
    <row r="10" spans="1:11" s="27" customFormat="1" ht="30" x14ac:dyDescent="0.3">
      <c r="A10" s="373">
        <v>1</v>
      </c>
      <c r="B10" s="76" t="s">
        <v>525</v>
      </c>
      <c r="C10" s="374" t="s">
        <v>612</v>
      </c>
      <c r="D10" s="374" t="s">
        <v>222</v>
      </c>
      <c r="E10" s="375" t="s">
        <v>613</v>
      </c>
      <c r="F10" s="376">
        <v>936.64</v>
      </c>
      <c r="G10" s="376">
        <v>640358.41</v>
      </c>
      <c r="H10" s="376">
        <v>628659.46</v>
      </c>
      <c r="I10" s="376">
        <f>F10+G10-H10</f>
        <v>12635.590000000084</v>
      </c>
      <c r="J10" s="376"/>
      <c r="K10" s="150"/>
    </row>
    <row r="11" spans="1:11" x14ac:dyDescent="0.3">
      <c r="A11" s="456">
        <v>2</v>
      </c>
      <c r="B11" s="457" t="s">
        <v>614</v>
      </c>
      <c r="C11" s="457" t="s">
        <v>615</v>
      </c>
      <c r="D11" s="457" t="s">
        <v>222</v>
      </c>
      <c r="E11" s="457" t="s">
        <v>616</v>
      </c>
      <c r="F11" s="457">
        <v>2069.38</v>
      </c>
      <c r="G11" s="457">
        <v>17938.189999999999</v>
      </c>
      <c r="H11" s="457">
        <v>20007.57</v>
      </c>
      <c r="I11" s="376">
        <f>F11+G11-H11</f>
        <v>0</v>
      </c>
      <c r="J11" s="329"/>
    </row>
    <row r="12" spans="1:11" x14ac:dyDescent="0.3">
      <c r="A12" s="456">
        <v>3</v>
      </c>
      <c r="B12" s="457" t="s">
        <v>614</v>
      </c>
      <c r="C12" s="457" t="s">
        <v>615</v>
      </c>
      <c r="D12" s="457" t="s">
        <v>617</v>
      </c>
      <c r="E12" s="457" t="s">
        <v>616</v>
      </c>
      <c r="F12" s="457">
        <v>0</v>
      </c>
      <c r="G12" s="457">
        <v>19918.46</v>
      </c>
      <c r="H12" s="457">
        <v>19918.46</v>
      </c>
      <c r="I12" s="376">
        <f>F12+G12-H12</f>
        <v>0</v>
      </c>
      <c r="J12" s="329"/>
    </row>
    <row r="13" spans="1:11" ht="30" x14ac:dyDescent="0.3">
      <c r="A13" s="455">
        <v>4</v>
      </c>
      <c r="B13" s="451" t="s">
        <v>525</v>
      </c>
      <c r="C13" s="374" t="s">
        <v>752</v>
      </c>
      <c r="D13" s="452" t="s">
        <v>222</v>
      </c>
      <c r="E13" s="453" t="s">
        <v>753</v>
      </c>
      <c r="F13" s="454">
        <v>-9501.1299999999992</v>
      </c>
      <c r="G13" s="454">
        <v>46793.17</v>
      </c>
      <c r="H13" s="454">
        <v>34292.04</v>
      </c>
      <c r="I13" s="376">
        <f>F13+G13-H13</f>
        <v>3000</v>
      </c>
      <c r="J13" s="329"/>
    </row>
    <row r="14" spans="1:11" x14ac:dyDescent="0.3">
      <c r="A14" s="149"/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1" x14ac:dyDescent="0.3">
      <c r="A15" s="149"/>
      <c r="B15" s="283" t="s">
        <v>107</v>
      </c>
      <c r="C15" s="149"/>
      <c r="D15" s="149"/>
      <c r="E15" s="149"/>
      <c r="F15" s="284"/>
      <c r="G15" s="149"/>
      <c r="H15" s="149"/>
      <c r="I15" s="149"/>
      <c r="J15" s="149"/>
    </row>
    <row r="16" spans="1:11" x14ac:dyDescent="0.3">
      <c r="A16" s="149"/>
      <c r="B16" s="149"/>
      <c r="C16" s="149"/>
      <c r="D16" s="149"/>
      <c r="E16" s="149"/>
      <c r="F16" s="146"/>
      <c r="G16" s="146"/>
      <c r="H16" s="146"/>
      <c r="I16" s="146"/>
      <c r="J16" s="146"/>
    </row>
    <row r="17" spans="1:10" x14ac:dyDescent="0.3">
      <c r="A17" s="149"/>
      <c r="B17" s="149"/>
      <c r="C17" s="339"/>
      <c r="D17" s="149"/>
      <c r="E17" s="149"/>
      <c r="F17" s="339"/>
      <c r="G17" s="340"/>
      <c r="H17" s="340"/>
      <c r="I17" s="146"/>
      <c r="J17" s="146"/>
    </row>
    <row r="18" spans="1:10" x14ac:dyDescent="0.3">
      <c r="A18" s="146"/>
      <c r="B18" s="149"/>
      <c r="C18" s="285" t="s">
        <v>271</v>
      </c>
      <c r="D18" s="285"/>
      <c r="E18" s="149"/>
      <c r="F18" s="149" t="s">
        <v>276</v>
      </c>
      <c r="G18" s="146"/>
      <c r="H18" s="146"/>
      <c r="I18" s="146"/>
      <c r="J18" s="146"/>
    </row>
    <row r="19" spans="1:10" x14ac:dyDescent="0.3">
      <c r="A19" s="146"/>
      <c r="B19" s="149"/>
      <c r="C19" s="286" t="s">
        <v>140</v>
      </c>
      <c r="D19" s="149"/>
      <c r="E19" s="149"/>
      <c r="F19" s="149" t="s">
        <v>272</v>
      </c>
      <c r="G19" s="146"/>
      <c r="H19" s="146"/>
      <c r="I19" s="146"/>
      <c r="J19" s="146"/>
    </row>
    <row r="20" spans="1:10" customFormat="1" x14ac:dyDescent="0.3">
      <c r="A20" s="146"/>
      <c r="B20" s="149"/>
      <c r="C20" s="149"/>
      <c r="D20" s="286"/>
      <c r="E20" s="146"/>
      <c r="F20" s="146"/>
      <c r="G20" s="146"/>
      <c r="H20" s="146"/>
      <c r="I20" s="146"/>
      <c r="J20" s="146"/>
    </row>
    <row r="21" spans="1:10" customFormat="1" ht="12.75" x14ac:dyDescent="0.2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view="pageBreakPreview" zoomScale="70" zoomScaleSheetLayoutView="70" workbookViewId="0">
      <selection activeCell="A5" sqref="A5:F5"/>
    </sheetView>
  </sheetViews>
  <sheetFormatPr defaultRowHeight="15" x14ac:dyDescent="0.3"/>
  <cols>
    <col min="1" max="1" width="12" style="233" customWidth="1"/>
    <col min="2" max="2" width="13.28515625" style="233" customWidth="1"/>
    <col min="3" max="3" width="21.42578125" style="233" customWidth="1"/>
    <col min="4" max="4" width="17.85546875" style="233" customWidth="1"/>
    <col min="5" max="5" width="12.7109375" style="233" customWidth="1"/>
    <col min="6" max="6" width="36.85546875" style="233" customWidth="1"/>
    <col min="7" max="7" width="22.28515625" style="233" customWidth="1"/>
    <col min="8" max="8" width="0.5703125" style="233" customWidth="1"/>
    <col min="9" max="16384" width="9.140625" style="233"/>
  </cols>
  <sheetData>
    <row r="1" spans="1:8" x14ac:dyDescent="0.3">
      <c r="A1" s="104" t="s">
        <v>374</v>
      </c>
      <c r="B1" s="106"/>
      <c r="C1" s="106"/>
      <c r="D1" s="106"/>
      <c r="E1" s="106"/>
      <c r="F1" s="106"/>
      <c r="G1" s="219" t="s">
        <v>110</v>
      </c>
      <c r="H1" s="220"/>
    </row>
    <row r="2" spans="1:8" x14ac:dyDescent="0.3">
      <c r="A2" s="106" t="s">
        <v>141</v>
      </c>
      <c r="B2" s="106"/>
      <c r="C2" s="106"/>
      <c r="D2" s="106"/>
      <c r="E2" s="106"/>
      <c r="F2" s="106"/>
      <c r="G2" s="533" t="s">
        <v>618</v>
      </c>
      <c r="H2" s="534"/>
    </row>
    <row r="3" spans="1:8" x14ac:dyDescent="0.3">
      <c r="A3" s="106"/>
      <c r="B3" s="106"/>
      <c r="C3" s="106"/>
      <c r="D3" s="106"/>
      <c r="E3" s="106"/>
      <c r="F3" s="106"/>
      <c r="G3" s="147"/>
      <c r="H3" s="220"/>
    </row>
    <row r="4" spans="1:8" x14ac:dyDescent="0.3">
      <c r="A4" s="107" t="str">
        <f>'[2]ფორმა N2'!A4</f>
        <v>ანგარიშვალდებული პირის დასახელება:</v>
      </c>
      <c r="B4" s="106"/>
      <c r="C4" s="106"/>
      <c r="D4" s="106"/>
      <c r="E4" s="106"/>
      <c r="F4" s="106"/>
      <c r="G4" s="106"/>
      <c r="H4" s="149"/>
    </row>
    <row r="5" spans="1:8" x14ac:dyDescent="0.3">
      <c r="A5" s="272" t="s">
        <v>520</v>
      </c>
      <c r="B5" s="110"/>
      <c r="C5" s="110"/>
      <c r="D5" s="110"/>
      <c r="E5" s="110"/>
      <c r="F5" s="110"/>
      <c r="G5" s="106"/>
      <c r="H5" s="149"/>
    </row>
    <row r="6" spans="1:8" x14ac:dyDescent="0.3">
      <c r="A6" s="107"/>
      <c r="B6" s="106"/>
      <c r="C6" s="106"/>
      <c r="D6" s="106"/>
      <c r="E6" s="106"/>
      <c r="F6" s="106"/>
      <c r="G6" s="106"/>
      <c r="H6" s="149"/>
    </row>
    <row r="7" spans="1:8" x14ac:dyDescent="0.3">
      <c r="A7" s="106"/>
      <c r="B7" s="106"/>
      <c r="C7" s="106"/>
      <c r="D7" s="106"/>
      <c r="E7" s="106"/>
      <c r="F7" s="106"/>
      <c r="G7" s="106"/>
      <c r="H7" s="150"/>
    </row>
    <row r="8" spans="1:8" ht="45.75" customHeight="1" x14ac:dyDescent="0.3">
      <c r="A8" s="221" t="s">
        <v>319</v>
      </c>
      <c r="B8" s="221" t="s">
        <v>142</v>
      </c>
      <c r="C8" s="222" t="s">
        <v>372</v>
      </c>
      <c r="D8" s="222" t="s">
        <v>373</v>
      </c>
      <c r="E8" s="222" t="s">
        <v>278</v>
      </c>
      <c r="F8" s="221" t="s">
        <v>325</v>
      </c>
      <c r="G8" s="222" t="s">
        <v>320</v>
      </c>
      <c r="H8" s="150"/>
    </row>
    <row r="9" spans="1:8" x14ac:dyDescent="0.3">
      <c r="A9" s="223" t="s">
        <v>321</v>
      </c>
      <c r="B9" s="224"/>
      <c r="C9" s="225"/>
      <c r="D9" s="226"/>
      <c r="E9" s="226"/>
      <c r="F9" s="226"/>
      <c r="G9" s="227"/>
      <c r="H9" s="150"/>
    </row>
    <row r="10" spans="1:8" ht="15.75" x14ac:dyDescent="0.3">
      <c r="A10" s="224">
        <v>1</v>
      </c>
      <c r="B10" s="202" t="s">
        <v>619</v>
      </c>
      <c r="C10" s="228">
        <v>5190</v>
      </c>
      <c r="D10" s="229">
        <v>5190</v>
      </c>
      <c r="E10" s="229" t="s">
        <v>222</v>
      </c>
      <c r="F10" s="229"/>
      <c r="G10" s="230">
        <f>IF(ISBLANK(B10),"",G9+C10-D10)</f>
        <v>0</v>
      </c>
      <c r="H10" s="150"/>
    </row>
    <row r="11" spans="1:8" ht="15.75" x14ac:dyDescent="0.3">
      <c r="A11" s="224">
        <v>2</v>
      </c>
      <c r="B11" s="202" t="s">
        <v>620</v>
      </c>
      <c r="C11" s="228">
        <v>860</v>
      </c>
      <c r="D11" s="229">
        <v>860</v>
      </c>
      <c r="E11" s="229" t="s">
        <v>222</v>
      </c>
      <c r="F11" s="229"/>
      <c r="G11" s="230">
        <f t="shared" ref="G11:G40" si="0">IF(ISBLANK(B11),"",G10+C11-D11)</f>
        <v>0</v>
      </c>
      <c r="H11" s="150"/>
    </row>
    <row r="12" spans="1:8" ht="15.75" x14ac:dyDescent="0.3">
      <c r="A12" s="224">
        <v>3</v>
      </c>
      <c r="B12" s="202">
        <v>40555</v>
      </c>
      <c r="C12" s="228">
        <v>3000</v>
      </c>
      <c r="D12" s="229">
        <v>3000</v>
      </c>
      <c r="E12" s="229" t="s">
        <v>222</v>
      </c>
      <c r="F12" s="229" t="s">
        <v>621</v>
      </c>
      <c r="G12" s="230">
        <f t="shared" si="0"/>
        <v>0</v>
      </c>
      <c r="H12" s="150"/>
    </row>
    <row r="13" spans="1:8" ht="15.75" x14ac:dyDescent="0.3">
      <c r="A13" s="224">
        <v>4</v>
      </c>
      <c r="B13" s="202">
        <v>40586</v>
      </c>
      <c r="C13" s="228">
        <v>10050</v>
      </c>
      <c r="D13" s="229">
        <v>10050</v>
      </c>
      <c r="E13" s="229" t="s">
        <v>222</v>
      </c>
      <c r="F13" s="229" t="s">
        <v>622</v>
      </c>
      <c r="G13" s="230">
        <f t="shared" si="0"/>
        <v>0</v>
      </c>
      <c r="H13" s="150"/>
    </row>
    <row r="14" spans="1:8" ht="15.75" x14ac:dyDescent="0.3">
      <c r="A14" s="224">
        <v>5</v>
      </c>
      <c r="B14" s="202">
        <v>40706</v>
      </c>
      <c r="C14" s="228">
        <v>885</v>
      </c>
      <c r="D14" s="229">
        <v>885</v>
      </c>
      <c r="E14" s="229" t="s">
        <v>222</v>
      </c>
      <c r="F14" s="229" t="s">
        <v>623</v>
      </c>
      <c r="G14" s="230">
        <f t="shared" si="0"/>
        <v>0</v>
      </c>
      <c r="H14" s="150"/>
    </row>
    <row r="15" spans="1:8" ht="15.75" x14ac:dyDescent="0.3">
      <c r="A15" s="224">
        <v>6</v>
      </c>
      <c r="B15" s="202">
        <v>40767</v>
      </c>
      <c r="C15" s="228">
        <v>620</v>
      </c>
      <c r="D15" s="229">
        <v>620</v>
      </c>
      <c r="E15" s="229" t="s">
        <v>222</v>
      </c>
      <c r="F15" s="229" t="s">
        <v>623</v>
      </c>
      <c r="G15" s="230">
        <f t="shared" si="0"/>
        <v>0</v>
      </c>
      <c r="H15" s="150"/>
    </row>
    <row r="16" spans="1:8" ht="15.75" x14ac:dyDescent="0.3">
      <c r="A16" s="224">
        <v>7</v>
      </c>
      <c r="B16" s="202">
        <v>40798</v>
      </c>
      <c r="C16" s="228">
        <v>1620</v>
      </c>
      <c r="D16" s="229">
        <v>1620</v>
      </c>
      <c r="E16" s="229" t="s">
        <v>222</v>
      </c>
      <c r="F16" s="229" t="s">
        <v>623</v>
      </c>
      <c r="G16" s="230">
        <f t="shared" si="0"/>
        <v>0</v>
      </c>
      <c r="H16" s="150"/>
    </row>
    <row r="17" spans="1:8" ht="15.75" x14ac:dyDescent="0.3">
      <c r="A17" s="224">
        <v>8</v>
      </c>
      <c r="B17" s="202" t="s">
        <v>624</v>
      </c>
      <c r="C17" s="228">
        <v>2660</v>
      </c>
      <c r="D17" s="229">
        <v>2660</v>
      </c>
      <c r="E17" s="229" t="s">
        <v>222</v>
      </c>
      <c r="F17" s="229" t="s">
        <v>625</v>
      </c>
      <c r="G17" s="230">
        <f t="shared" si="0"/>
        <v>0</v>
      </c>
      <c r="H17" s="150"/>
    </row>
    <row r="18" spans="1:8" ht="15.75" x14ac:dyDescent="0.3">
      <c r="A18" s="224">
        <v>9</v>
      </c>
      <c r="B18" s="202" t="s">
        <v>626</v>
      </c>
      <c r="C18" s="228">
        <v>2443</v>
      </c>
      <c r="D18" s="229">
        <v>2443</v>
      </c>
      <c r="E18" s="229" t="s">
        <v>222</v>
      </c>
      <c r="F18" s="229" t="s">
        <v>627</v>
      </c>
      <c r="G18" s="230">
        <f t="shared" si="0"/>
        <v>0</v>
      </c>
      <c r="H18" s="150"/>
    </row>
    <row r="19" spans="1:8" ht="15.75" x14ac:dyDescent="0.3">
      <c r="A19" s="224">
        <v>10</v>
      </c>
      <c r="B19" s="202" t="s">
        <v>628</v>
      </c>
      <c r="C19" s="228">
        <v>4000</v>
      </c>
      <c r="D19" s="229">
        <v>4000</v>
      </c>
      <c r="E19" s="229" t="s">
        <v>222</v>
      </c>
      <c r="F19" s="229" t="s">
        <v>629</v>
      </c>
      <c r="G19" s="230">
        <f t="shared" si="0"/>
        <v>0</v>
      </c>
      <c r="H19" s="150"/>
    </row>
    <row r="20" spans="1:8" ht="15.75" x14ac:dyDescent="0.3">
      <c r="A20" s="224">
        <v>11</v>
      </c>
      <c r="B20" s="202" t="s">
        <v>630</v>
      </c>
      <c r="C20" s="228">
        <v>10000</v>
      </c>
      <c r="D20" s="229">
        <v>10000</v>
      </c>
      <c r="E20" s="229" t="s">
        <v>222</v>
      </c>
      <c r="F20" s="229" t="s">
        <v>631</v>
      </c>
      <c r="G20" s="230">
        <f t="shared" si="0"/>
        <v>0</v>
      </c>
      <c r="H20" s="150"/>
    </row>
    <row r="21" spans="1:8" ht="15.75" x14ac:dyDescent="0.3">
      <c r="A21" s="224">
        <v>12</v>
      </c>
      <c r="B21" s="202" t="s">
        <v>632</v>
      </c>
      <c r="C21" s="228">
        <v>2290</v>
      </c>
      <c r="D21" s="229">
        <v>2290</v>
      </c>
      <c r="E21" s="229" t="s">
        <v>222</v>
      </c>
      <c r="F21" s="229" t="s">
        <v>623</v>
      </c>
      <c r="G21" s="230">
        <f t="shared" si="0"/>
        <v>0</v>
      </c>
      <c r="H21" s="150"/>
    </row>
    <row r="22" spans="1:8" ht="15.75" x14ac:dyDescent="0.3">
      <c r="A22" s="224">
        <v>13</v>
      </c>
      <c r="B22" s="202">
        <v>41030</v>
      </c>
      <c r="C22" s="228">
        <v>1020</v>
      </c>
      <c r="D22" s="229">
        <v>1020</v>
      </c>
      <c r="E22" s="229" t="s">
        <v>222</v>
      </c>
      <c r="F22" s="229" t="s">
        <v>621</v>
      </c>
      <c r="G22" s="230">
        <f t="shared" si="0"/>
        <v>0</v>
      </c>
      <c r="H22" s="150"/>
    </row>
    <row r="23" spans="1:8" ht="15.75" x14ac:dyDescent="0.3">
      <c r="A23" s="224">
        <v>14</v>
      </c>
      <c r="B23" s="202">
        <v>41153</v>
      </c>
      <c r="C23" s="228">
        <v>1500</v>
      </c>
      <c r="D23" s="229">
        <v>1500</v>
      </c>
      <c r="E23" s="229" t="s">
        <v>222</v>
      </c>
      <c r="F23" s="229" t="s">
        <v>623</v>
      </c>
      <c r="G23" s="230">
        <f t="shared" si="0"/>
        <v>0</v>
      </c>
      <c r="H23" s="150"/>
    </row>
    <row r="24" spans="1:8" ht="15.75" x14ac:dyDescent="0.3">
      <c r="A24" s="224">
        <v>15</v>
      </c>
      <c r="B24" s="202" t="s">
        <v>633</v>
      </c>
      <c r="C24" s="228">
        <v>2962.5</v>
      </c>
      <c r="D24" s="229">
        <v>2962.5</v>
      </c>
      <c r="E24" s="229" t="s">
        <v>222</v>
      </c>
      <c r="F24" s="229" t="s">
        <v>634</v>
      </c>
      <c r="G24" s="230">
        <f t="shared" si="0"/>
        <v>0</v>
      </c>
      <c r="H24" s="150"/>
    </row>
    <row r="25" spans="1:8" ht="15.75" x14ac:dyDescent="0.3">
      <c r="A25" s="224">
        <v>16</v>
      </c>
      <c r="B25" s="202" t="s">
        <v>635</v>
      </c>
      <c r="C25" s="228">
        <v>4380</v>
      </c>
      <c r="D25" s="229">
        <v>4380</v>
      </c>
      <c r="E25" s="229" t="s">
        <v>222</v>
      </c>
      <c r="F25" s="229" t="s">
        <v>636</v>
      </c>
      <c r="G25" s="230">
        <f t="shared" si="0"/>
        <v>0</v>
      </c>
      <c r="H25" s="150"/>
    </row>
    <row r="26" spans="1:8" ht="15.75" x14ac:dyDescent="0.3">
      <c r="A26" s="224">
        <v>17</v>
      </c>
      <c r="B26" s="202" t="s">
        <v>637</v>
      </c>
      <c r="C26" s="228">
        <v>1000</v>
      </c>
      <c r="D26" s="229">
        <v>1000</v>
      </c>
      <c r="E26" s="229" t="s">
        <v>222</v>
      </c>
      <c r="F26" s="229" t="s">
        <v>623</v>
      </c>
      <c r="G26" s="230">
        <f t="shared" si="0"/>
        <v>0</v>
      </c>
      <c r="H26" s="150"/>
    </row>
    <row r="27" spans="1:8" ht="15.75" x14ac:dyDescent="0.3">
      <c r="A27" s="224">
        <v>18</v>
      </c>
      <c r="B27" s="202" t="s">
        <v>638</v>
      </c>
      <c r="C27" s="228">
        <v>460</v>
      </c>
      <c r="D27" s="229">
        <v>460</v>
      </c>
      <c r="E27" s="229" t="s">
        <v>222</v>
      </c>
      <c r="F27" s="229" t="s">
        <v>639</v>
      </c>
      <c r="G27" s="230">
        <f t="shared" si="0"/>
        <v>0</v>
      </c>
      <c r="H27" s="150"/>
    </row>
    <row r="28" spans="1:8" ht="15.75" x14ac:dyDescent="0.3">
      <c r="A28" s="224">
        <v>19</v>
      </c>
      <c r="B28" s="202" t="s">
        <v>640</v>
      </c>
      <c r="C28" s="228">
        <v>730</v>
      </c>
      <c r="D28" s="229">
        <v>730</v>
      </c>
      <c r="E28" s="229" t="s">
        <v>222</v>
      </c>
      <c r="F28" s="229" t="s">
        <v>641</v>
      </c>
      <c r="G28" s="230">
        <f t="shared" si="0"/>
        <v>0</v>
      </c>
      <c r="H28" s="150"/>
    </row>
    <row r="29" spans="1:8" ht="15.75" x14ac:dyDescent="0.3">
      <c r="A29" s="224">
        <v>20</v>
      </c>
      <c r="B29" s="202">
        <v>41062</v>
      </c>
      <c r="C29" s="228">
        <v>1712</v>
      </c>
      <c r="D29" s="229">
        <v>1712</v>
      </c>
      <c r="E29" s="229" t="s">
        <v>222</v>
      </c>
      <c r="F29" s="229" t="s">
        <v>642</v>
      </c>
      <c r="G29" s="230">
        <f t="shared" si="0"/>
        <v>0</v>
      </c>
      <c r="H29" s="150"/>
    </row>
    <row r="30" spans="1:8" ht="15.75" x14ac:dyDescent="0.3">
      <c r="A30" s="224">
        <v>21</v>
      </c>
      <c r="B30" s="202" t="s">
        <v>643</v>
      </c>
      <c r="C30" s="231">
        <v>1000</v>
      </c>
      <c r="D30" s="232">
        <v>1000</v>
      </c>
      <c r="E30" s="229" t="s">
        <v>222</v>
      </c>
      <c r="F30" s="232" t="s">
        <v>621</v>
      </c>
      <c r="G30" s="230">
        <f t="shared" si="0"/>
        <v>0</v>
      </c>
      <c r="H30" s="150"/>
    </row>
    <row r="31" spans="1:8" ht="15.75" x14ac:dyDescent="0.3">
      <c r="A31" s="224">
        <v>22</v>
      </c>
      <c r="B31" s="202" t="s">
        <v>644</v>
      </c>
      <c r="C31" s="231">
        <v>1050</v>
      </c>
      <c r="D31" s="232">
        <v>1050</v>
      </c>
      <c r="E31" s="229" t="s">
        <v>222</v>
      </c>
      <c r="F31" s="232" t="s">
        <v>645</v>
      </c>
      <c r="G31" s="230">
        <f t="shared" si="0"/>
        <v>0</v>
      </c>
      <c r="H31" s="150"/>
    </row>
    <row r="32" spans="1:8" ht="15.75" x14ac:dyDescent="0.3">
      <c r="A32" s="224">
        <v>23</v>
      </c>
      <c r="B32" s="202" t="s">
        <v>646</v>
      </c>
      <c r="C32" s="231">
        <v>4250</v>
      </c>
      <c r="D32" s="232">
        <v>4250</v>
      </c>
      <c r="E32" s="229" t="s">
        <v>222</v>
      </c>
      <c r="F32" s="232" t="s">
        <v>647</v>
      </c>
      <c r="G32" s="230">
        <f t="shared" si="0"/>
        <v>0</v>
      </c>
      <c r="H32" s="150"/>
    </row>
    <row r="33" spans="1:16" ht="15.75" x14ac:dyDescent="0.3">
      <c r="A33" s="224">
        <v>24</v>
      </c>
      <c r="B33" s="202" t="s">
        <v>649</v>
      </c>
      <c r="C33" s="231">
        <v>2774</v>
      </c>
      <c r="D33" s="232">
        <v>2774</v>
      </c>
      <c r="E33" s="229" t="s">
        <v>222</v>
      </c>
      <c r="F33" s="232" t="s">
        <v>648</v>
      </c>
      <c r="G33" s="230">
        <f t="shared" si="0"/>
        <v>0</v>
      </c>
      <c r="H33" s="150"/>
    </row>
    <row r="34" spans="1:16" ht="20.25" customHeight="1" x14ac:dyDescent="0.3">
      <c r="A34" s="224">
        <v>25</v>
      </c>
      <c r="B34" s="202" t="s">
        <v>650</v>
      </c>
      <c r="C34" s="231">
        <v>1450</v>
      </c>
      <c r="D34" s="232">
        <v>1450</v>
      </c>
      <c r="E34" s="232" t="s">
        <v>222</v>
      </c>
      <c r="F34" s="232" t="s">
        <v>651</v>
      </c>
      <c r="G34" s="230">
        <f t="shared" si="0"/>
        <v>0</v>
      </c>
      <c r="H34" s="150"/>
    </row>
    <row r="35" spans="1:16" ht="15.75" x14ac:dyDescent="0.3">
      <c r="A35" s="224">
        <v>26</v>
      </c>
      <c r="B35" s="202" t="s">
        <v>652</v>
      </c>
      <c r="C35" s="231">
        <v>2000</v>
      </c>
      <c r="D35" s="232">
        <v>2000</v>
      </c>
      <c r="E35" s="232" t="s">
        <v>222</v>
      </c>
      <c r="F35" s="232" t="s">
        <v>621</v>
      </c>
      <c r="G35" s="230">
        <f t="shared" si="0"/>
        <v>0</v>
      </c>
      <c r="H35" s="150"/>
    </row>
    <row r="36" spans="1:16" ht="15.75" x14ac:dyDescent="0.3">
      <c r="A36" s="224">
        <v>27</v>
      </c>
      <c r="B36" s="202">
        <v>40911</v>
      </c>
      <c r="C36" s="231">
        <v>93</v>
      </c>
      <c r="D36" s="232">
        <v>93</v>
      </c>
      <c r="E36" s="232" t="s">
        <v>222</v>
      </c>
      <c r="F36" s="232" t="s">
        <v>623</v>
      </c>
      <c r="G36" s="230">
        <f t="shared" si="0"/>
        <v>0</v>
      </c>
      <c r="H36" s="150"/>
    </row>
    <row r="37" spans="1:16" ht="15.75" x14ac:dyDescent="0.3">
      <c r="A37" s="224">
        <v>28</v>
      </c>
      <c r="B37" s="202">
        <v>41032</v>
      </c>
      <c r="C37" s="231">
        <v>100</v>
      </c>
      <c r="D37" s="232">
        <v>100</v>
      </c>
      <c r="E37" s="232" t="s">
        <v>222</v>
      </c>
      <c r="F37" s="232" t="s">
        <v>623</v>
      </c>
      <c r="G37" s="230">
        <f t="shared" si="0"/>
        <v>0</v>
      </c>
      <c r="H37" s="150"/>
      <c r="J37" s="384"/>
    </row>
    <row r="38" spans="1:16" ht="30" x14ac:dyDescent="0.3">
      <c r="A38" s="224">
        <v>29</v>
      </c>
      <c r="B38" s="202" t="s">
        <v>653</v>
      </c>
      <c r="C38" s="231">
        <v>4756</v>
      </c>
      <c r="D38" s="232">
        <v>4756</v>
      </c>
      <c r="E38" s="232" t="s">
        <v>222</v>
      </c>
      <c r="F38" s="232" t="s">
        <v>654</v>
      </c>
      <c r="G38" s="230">
        <f t="shared" si="0"/>
        <v>0</v>
      </c>
      <c r="H38" s="150"/>
    </row>
    <row r="39" spans="1:16" ht="15.75" x14ac:dyDescent="0.3">
      <c r="A39" s="423">
        <v>30</v>
      </c>
      <c r="B39" s="356" t="s">
        <v>653</v>
      </c>
      <c r="C39" s="326">
        <v>900</v>
      </c>
      <c r="D39" s="418">
        <v>900</v>
      </c>
      <c r="E39" s="418" t="s">
        <v>222</v>
      </c>
      <c r="F39" s="418" t="s">
        <v>623</v>
      </c>
      <c r="G39" s="416">
        <f t="shared" si="0"/>
        <v>0</v>
      </c>
      <c r="H39" s="150"/>
    </row>
    <row r="40" spans="1:16" x14ac:dyDescent="0.3">
      <c r="A40" s="431">
        <v>31</v>
      </c>
      <c r="B40" s="430">
        <v>41033</v>
      </c>
      <c r="C40" s="428">
        <v>3320</v>
      </c>
      <c r="D40" s="428">
        <v>3320</v>
      </c>
      <c r="E40" s="374" t="s">
        <v>222</v>
      </c>
      <c r="F40" s="428" t="s">
        <v>693</v>
      </c>
      <c r="G40" s="429">
        <f t="shared" si="0"/>
        <v>0</v>
      </c>
      <c r="H40" s="150"/>
    </row>
    <row r="41" spans="1:16" ht="30" x14ac:dyDescent="0.3">
      <c r="A41" s="424">
        <v>32</v>
      </c>
      <c r="B41" s="202">
        <v>41186</v>
      </c>
      <c r="C41" s="425">
        <v>4132</v>
      </c>
      <c r="D41" s="426">
        <v>4132</v>
      </c>
      <c r="E41" s="426" t="s">
        <v>222</v>
      </c>
      <c r="F41" s="426" t="s">
        <v>655</v>
      </c>
      <c r="G41" s="427">
        <f>IF(ISBLANK(B41),"",G39+C41-D41)</f>
        <v>0</v>
      </c>
    </row>
    <row r="42" spans="1:16" ht="30" x14ac:dyDescent="0.3">
      <c r="A42" s="224">
        <v>33</v>
      </c>
      <c r="B42" s="202" t="s">
        <v>656</v>
      </c>
      <c r="C42" s="231">
        <v>1927</v>
      </c>
      <c r="D42" s="232">
        <v>1927</v>
      </c>
      <c r="E42" s="232" t="s">
        <v>222</v>
      </c>
      <c r="F42" s="232" t="s">
        <v>657</v>
      </c>
      <c r="G42" s="230">
        <f t="shared" ref="G42:G52" si="1">IF(ISBLANK(B42),"",G41+C42-D42)</f>
        <v>0</v>
      </c>
    </row>
    <row r="43" spans="1:16" ht="15.75" x14ac:dyDescent="0.3">
      <c r="A43" s="224">
        <v>34</v>
      </c>
      <c r="B43" s="202" t="s">
        <v>658</v>
      </c>
      <c r="C43" s="231">
        <v>173</v>
      </c>
      <c r="D43" s="232">
        <v>173</v>
      </c>
      <c r="E43" s="232" t="s">
        <v>222</v>
      </c>
      <c r="F43" s="232" t="s">
        <v>659</v>
      </c>
      <c r="G43" s="230">
        <f t="shared" si="1"/>
        <v>0</v>
      </c>
    </row>
    <row r="44" spans="1:16" ht="15.75" x14ac:dyDescent="0.3">
      <c r="A44" s="224">
        <v>35</v>
      </c>
      <c r="B44" s="202" t="s">
        <v>660</v>
      </c>
      <c r="C44" s="231">
        <v>2000</v>
      </c>
      <c r="D44" s="232">
        <v>2000</v>
      </c>
      <c r="E44" s="232" t="s">
        <v>222</v>
      </c>
      <c r="F44" s="232" t="s">
        <v>661</v>
      </c>
      <c r="G44" s="230">
        <f t="shared" si="1"/>
        <v>0</v>
      </c>
    </row>
    <row r="45" spans="1:16" ht="15.75" x14ac:dyDescent="0.3">
      <c r="A45" s="224">
        <v>36</v>
      </c>
      <c r="B45" s="202" t="s">
        <v>662</v>
      </c>
      <c r="C45" s="231">
        <v>1100</v>
      </c>
      <c r="D45" s="232">
        <v>1100</v>
      </c>
      <c r="E45" s="232" t="s">
        <v>222</v>
      </c>
      <c r="F45" s="232" t="s">
        <v>623</v>
      </c>
      <c r="G45" s="230">
        <f t="shared" si="1"/>
        <v>0</v>
      </c>
      <c r="H45" s="234"/>
      <c r="I45" s="234"/>
      <c r="J45" s="234"/>
    </row>
    <row r="46" spans="1:16" ht="15.75" x14ac:dyDescent="0.3">
      <c r="A46" s="224">
        <v>37</v>
      </c>
      <c r="B46" s="202" t="s">
        <v>663</v>
      </c>
      <c r="C46" s="231">
        <v>1500</v>
      </c>
      <c r="D46" s="232">
        <v>1500</v>
      </c>
      <c r="E46" s="232" t="s">
        <v>222</v>
      </c>
      <c r="F46" s="232" t="s">
        <v>621</v>
      </c>
      <c r="G46" s="230">
        <f t="shared" si="1"/>
        <v>0</v>
      </c>
      <c r="H46" s="234"/>
      <c r="I46" s="234"/>
      <c r="J46" s="234"/>
    </row>
    <row r="47" spans="1:16" ht="15.75" x14ac:dyDescent="0.3">
      <c r="A47" s="224">
        <v>38</v>
      </c>
      <c r="B47" s="202">
        <v>40944</v>
      </c>
      <c r="C47" s="231">
        <v>3215</v>
      </c>
      <c r="D47" s="232">
        <v>3215</v>
      </c>
      <c r="E47" s="232" t="s">
        <v>222</v>
      </c>
      <c r="F47" s="232" t="s">
        <v>664</v>
      </c>
      <c r="G47" s="230">
        <f t="shared" si="1"/>
        <v>0</v>
      </c>
      <c r="H47" s="234"/>
      <c r="I47" s="234"/>
      <c r="J47" s="234"/>
      <c r="P47" s="378"/>
    </row>
    <row r="48" spans="1:16" ht="15.75" x14ac:dyDescent="0.3">
      <c r="A48" s="224">
        <v>39</v>
      </c>
      <c r="B48" s="202">
        <v>41218</v>
      </c>
      <c r="C48" s="231">
        <v>500</v>
      </c>
      <c r="D48" s="232">
        <v>500</v>
      </c>
      <c r="E48" s="232" t="s">
        <v>222</v>
      </c>
      <c r="F48" s="232" t="s">
        <v>621</v>
      </c>
      <c r="G48" s="230">
        <f t="shared" si="1"/>
        <v>0</v>
      </c>
      <c r="H48" s="234"/>
      <c r="I48" s="234"/>
      <c r="J48" s="234"/>
    </row>
    <row r="49" spans="1:15" ht="15.75" x14ac:dyDescent="0.3">
      <c r="A49" s="224">
        <v>40</v>
      </c>
      <c r="B49" s="202" t="s">
        <v>665</v>
      </c>
      <c r="C49" s="231">
        <v>1000</v>
      </c>
      <c r="D49" s="232">
        <v>1000</v>
      </c>
      <c r="E49" s="232" t="s">
        <v>222</v>
      </c>
      <c r="F49" s="232" t="s">
        <v>623</v>
      </c>
      <c r="G49" s="230">
        <f t="shared" si="1"/>
        <v>0</v>
      </c>
      <c r="H49" s="234"/>
      <c r="I49" s="234"/>
      <c r="J49" s="234"/>
    </row>
    <row r="50" spans="1:15" ht="30" x14ac:dyDescent="0.3">
      <c r="A50" s="224">
        <v>41</v>
      </c>
      <c r="B50" s="202" t="s">
        <v>666</v>
      </c>
      <c r="C50" s="231">
        <v>5670</v>
      </c>
      <c r="D50" s="232">
        <v>5670</v>
      </c>
      <c r="E50" s="232" t="s">
        <v>222</v>
      </c>
      <c r="F50" s="232" t="s">
        <v>667</v>
      </c>
      <c r="G50" s="230">
        <f t="shared" si="1"/>
        <v>0</v>
      </c>
      <c r="H50" s="234"/>
      <c r="I50" s="234"/>
      <c r="J50" s="234"/>
    </row>
    <row r="51" spans="1:15" s="234" customFormat="1" x14ac:dyDescent="0.25">
      <c r="A51" s="224">
        <v>42</v>
      </c>
      <c r="B51" s="202" t="s">
        <v>668</v>
      </c>
      <c r="C51" s="231">
        <v>1617</v>
      </c>
      <c r="D51" s="232">
        <v>1617</v>
      </c>
      <c r="E51" s="232" t="s">
        <v>222</v>
      </c>
      <c r="F51" s="232" t="s">
        <v>669</v>
      </c>
      <c r="G51" s="230">
        <f t="shared" si="1"/>
        <v>0</v>
      </c>
    </row>
    <row r="52" spans="1:15" s="234" customFormat="1" x14ac:dyDescent="0.25">
      <c r="A52" s="224">
        <v>43</v>
      </c>
      <c r="B52" s="202" t="s">
        <v>670</v>
      </c>
      <c r="C52" s="231">
        <v>207</v>
      </c>
      <c r="D52" s="232">
        <v>207</v>
      </c>
      <c r="E52" s="232" t="s">
        <v>222</v>
      </c>
      <c r="F52" s="232" t="s">
        <v>623</v>
      </c>
      <c r="G52" s="230">
        <f t="shared" si="1"/>
        <v>0</v>
      </c>
    </row>
    <row r="53" spans="1:15" s="234" customFormat="1" x14ac:dyDescent="0.25">
      <c r="A53" s="224">
        <v>44</v>
      </c>
      <c r="B53" s="379">
        <v>40914</v>
      </c>
      <c r="C53" s="380">
        <v>1277</v>
      </c>
      <c r="D53" s="381">
        <v>1277</v>
      </c>
      <c r="E53" s="381" t="s">
        <v>222</v>
      </c>
      <c r="F53" s="381" t="s">
        <v>671</v>
      </c>
      <c r="G53" s="382">
        <f t="shared" ref="G53:G59" si="2">IF(ISBLANK(B53),"",G44+C53-D53)</f>
        <v>0</v>
      </c>
      <c r="H53" s="382" t="e">
        <f>IF(ISBLANK(C53),"",H43+D53-E53)</f>
        <v>#VALUE!</v>
      </c>
    </row>
    <row r="54" spans="1:15" s="234" customFormat="1" x14ac:dyDescent="0.25">
      <c r="A54" s="224">
        <v>45</v>
      </c>
      <c r="B54" s="379">
        <v>41249</v>
      </c>
      <c r="C54" s="380">
        <v>2000</v>
      </c>
      <c r="D54" s="381">
        <v>2000</v>
      </c>
      <c r="E54" s="381" t="s">
        <v>222</v>
      </c>
      <c r="F54" s="381" t="s">
        <v>671</v>
      </c>
      <c r="G54" s="382">
        <f t="shared" si="2"/>
        <v>0</v>
      </c>
    </row>
    <row r="55" spans="1:15" s="234" customFormat="1" ht="30" x14ac:dyDescent="0.25">
      <c r="A55" s="224">
        <v>46</v>
      </c>
      <c r="B55" s="379" t="s">
        <v>672</v>
      </c>
      <c r="C55" s="380">
        <v>2967.5</v>
      </c>
      <c r="D55" s="381">
        <v>2967.5</v>
      </c>
      <c r="E55" s="381" t="s">
        <v>222</v>
      </c>
      <c r="F55" s="381" t="s">
        <v>673</v>
      </c>
      <c r="G55" s="382">
        <f t="shared" si="2"/>
        <v>0</v>
      </c>
    </row>
    <row r="56" spans="1:15" s="234" customFormat="1" ht="30" x14ac:dyDescent="0.25">
      <c r="A56" s="224">
        <v>47</v>
      </c>
      <c r="B56" s="379" t="s">
        <v>674</v>
      </c>
      <c r="C56" s="380">
        <v>1421</v>
      </c>
      <c r="D56" s="381">
        <v>1421</v>
      </c>
      <c r="E56" s="381" t="s">
        <v>222</v>
      </c>
      <c r="F56" s="381" t="s">
        <v>675</v>
      </c>
      <c r="G56" s="382">
        <f t="shared" si="2"/>
        <v>0</v>
      </c>
    </row>
    <row r="57" spans="1:15" s="234" customFormat="1" x14ac:dyDescent="0.25">
      <c r="A57" s="224">
        <v>48</v>
      </c>
      <c r="B57" s="379" t="s">
        <v>684</v>
      </c>
      <c r="C57" s="228">
        <v>800</v>
      </c>
      <c r="D57" s="229">
        <v>800</v>
      </c>
      <c r="E57" s="414" t="s">
        <v>222</v>
      </c>
      <c r="F57" s="229" t="s">
        <v>676</v>
      </c>
      <c r="G57" s="382">
        <f t="shared" si="2"/>
        <v>0</v>
      </c>
    </row>
    <row r="58" spans="1:15" s="234" customFormat="1" ht="30" x14ac:dyDescent="0.25">
      <c r="A58" s="224">
        <v>49</v>
      </c>
      <c r="B58" s="379" t="s">
        <v>533</v>
      </c>
      <c r="C58" s="228">
        <v>710</v>
      </c>
      <c r="D58" s="229">
        <v>710</v>
      </c>
      <c r="E58" s="414" t="s">
        <v>222</v>
      </c>
      <c r="F58" s="229" t="s">
        <v>677</v>
      </c>
      <c r="G58" s="382">
        <f t="shared" si="2"/>
        <v>0</v>
      </c>
      <c r="L58" s="394"/>
    </row>
    <row r="59" spans="1:15" s="234" customFormat="1" x14ac:dyDescent="0.25">
      <c r="A59" s="224">
        <v>50</v>
      </c>
      <c r="B59" s="379" t="s">
        <v>533</v>
      </c>
      <c r="C59" s="228">
        <v>5000</v>
      </c>
      <c r="D59" s="229">
        <v>5000</v>
      </c>
      <c r="E59" s="414" t="s">
        <v>222</v>
      </c>
      <c r="F59" s="229" t="s">
        <v>678</v>
      </c>
      <c r="G59" s="382">
        <f t="shared" si="2"/>
        <v>0</v>
      </c>
    </row>
    <row r="60" spans="1:15" s="234" customFormat="1" x14ac:dyDescent="0.25">
      <c r="A60" s="224">
        <v>51</v>
      </c>
      <c r="B60" s="379">
        <v>40946</v>
      </c>
      <c r="C60" s="228">
        <v>150</v>
      </c>
      <c r="D60" s="229">
        <v>150</v>
      </c>
      <c r="E60" s="414" t="s">
        <v>222</v>
      </c>
      <c r="F60" s="229" t="s">
        <v>679</v>
      </c>
      <c r="G60" s="382">
        <f>IF(ISBLANK(B60),"",G50+C60-D60)</f>
        <v>0</v>
      </c>
    </row>
    <row r="61" spans="1:15" s="234" customFormat="1" x14ac:dyDescent="0.25">
      <c r="A61" s="224">
        <v>52</v>
      </c>
      <c r="B61" s="379">
        <v>40946</v>
      </c>
      <c r="C61" s="228">
        <v>140</v>
      </c>
      <c r="D61" s="229">
        <v>140</v>
      </c>
      <c r="E61" s="414" t="s">
        <v>222</v>
      </c>
      <c r="F61" s="229" t="s">
        <v>2</v>
      </c>
      <c r="G61" s="382">
        <f>IF(ISBLANK(B61),"",G51+C61-D61)</f>
        <v>0</v>
      </c>
      <c r="O61" s="410"/>
    </row>
    <row r="62" spans="1:15" s="234" customFormat="1" x14ac:dyDescent="0.25">
      <c r="A62" s="224">
        <v>53</v>
      </c>
      <c r="B62" s="379" t="s">
        <v>685</v>
      </c>
      <c r="C62" s="228">
        <v>35000</v>
      </c>
      <c r="D62" s="229"/>
      <c r="E62" s="414" t="s">
        <v>680</v>
      </c>
      <c r="F62" s="229" t="s">
        <v>681</v>
      </c>
      <c r="G62" s="382">
        <f>IF(ISBLANK(B62),"",G52+C62-D62)</f>
        <v>35000</v>
      </c>
    </row>
    <row r="63" spans="1:15" s="234" customFormat="1" x14ac:dyDescent="0.25">
      <c r="A63" s="224">
        <v>54</v>
      </c>
      <c r="B63" s="379" t="s">
        <v>685</v>
      </c>
      <c r="C63" s="228"/>
      <c r="D63" s="229">
        <v>35000</v>
      </c>
      <c r="E63" s="414" t="s">
        <v>680</v>
      </c>
      <c r="F63" s="229" t="s">
        <v>682</v>
      </c>
      <c r="G63" s="230">
        <f t="shared" ref="G63" si="3">IF(ISBLANK(B63),"",G62+C63-D63)</f>
        <v>0</v>
      </c>
    </row>
    <row r="64" spans="1:15" ht="15.75" x14ac:dyDescent="0.3">
      <c r="A64" s="224">
        <v>55</v>
      </c>
      <c r="B64" s="379" t="s">
        <v>685</v>
      </c>
      <c r="C64" s="228">
        <v>19000</v>
      </c>
      <c r="D64" s="229"/>
      <c r="E64" s="414" t="s">
        <v>680</v>
      </c>
      <c r="F64" s="229" t="s">
        <v>681</v>
      </c>
      <c r="G64" s="382">
        <f>IF(ISBLANK(B64),"",G54+C64-D64)</f>
        <v>19000</v>
      </c>
      <c r="K64" s="378"/>
    </row>
    <row r="65" spans="1:10" ht="15.75" x14ac:dyDescent="0.3">
      <c r="A65" s="224">
        <v>56</v>
      </c>
      <c r="B65" s="379" t="s">
        <v>685</v>
      </c>
      <c r="C65" s="228"/>
      <c r="D65" s="229">
        <v>19000</v>
      </c>
      <c r="E65" s="414" t="s">
        <v>222</v>
      </c>
      <c r="F65" s="229" t="s">
        <v>682</v>
      </c>
      <c r="G65" s="230">
        <f t="shared" ref="G65:G70" si="4">IF(ISBLANK(B65),"",G64+C65-D65)</f>
        <v>0</v>
      </c>
    </row>
    <row r="66" spans="1:10" ht="15.75" x14ac:dyDescent="0.3">
      <c r="A66" s="224">
        <v>57</v>
      </c>
      <c r="B66" s="379" t="s">
        <v>686</v>
      </c>
      <c r="C66" s="228">
        <v>470</v>
      </c>
      <c r="D66" s="229">
        <v>470</v>
      </c>
      <c r="E66" s="414" t="s">
        <v>222</v>
      </c>
      <c r="F66" s="229" t="s">
        <v>683</v>
      </c>
      <c r="G66" s="230">
        <f t="shared" si="4"/>
        <v>0</v>
      </c>
      <c r="I66" s="387"/>
    </row>
    <row r="67" spans="1:10" ht="30" x14ac:dyDescent="0.3">
      <c r="A67" s="441">
        <v>58</v>
      </c>
      <c r="B67" s="415" t="s">
        <v>687</v>
      </c>
      <c r="C67" s="328">
        <v>5000</v>
      </c>
      <c r="D67" s="229"/>
      <c r="E67" s="229" t="s">
        <v>222</v>
      </c>
      <c r="F67" s="229" t="s">
        <v>688</v>
      </c>
      <c r="G67" s="230">
        <f t="shared" si="4"/>
        <v>5000</v>
      </c>
      <c r="I67" s="387"/>
    </row>
    <row r="68" spans="1:10" ht="15.75" x14ac:dyDescent="0.3">
      <c r="A68" s="441">
        <v>59</v>
      </c>
      <c r="B68" s="415" t="s">
        <v>687</v>
      </c>
      <c r="C68" s="328"/>
      <c r="D68" s="229">
        <v>5000</v>
      </c>
      <c r="E68" s="229" t="s">
        <v>222</v>
      </c>
      <c r="F68" s="229" t="s">
        <v>689</v>
      </c>
      <c r="G68" s="230">
        <f t="shared" si="4"/>
        <v>0</v>
      </c>
    </row>
    <row r="69" spans="1:10" ht="15.75" x14ac:dyDescent="0.3">
      <c r="A69" s="441">
        <v>60</v>
      </c>
      <c r="B69" s="417" t="s">
        <v>690</v>
      </c>
      <c r="C69" s="326">
        <v>480</v>
      </c>
      <c r="D69" s="418">
        <v>480</v>
      </c>
      <c r="E69" s="418" t="s">
        <v>222</v>
      </c>
      <c r="F69" s="419" t="s">
        <v>691</v>
      </c>
      <c r="G69" s="230">
        <f t="shared" si="4"/>
        <v>0</v>
      </c>
    </row>
    <row r="70" spans="1:10" x14ac:dyDescent="0.3">
      <c r="A70" s="441">
        <v>61</v>
      </c>
      <c r="B70" s="420" t="s">
        <v>692</v>
      </c>
      <c r="C70" s="421">
        <v>240</v>
      </c>
      <c r="D70" s="421">
        <v>240</v>
      </c>
      <c r="E70" s="422" t="s">
        <v>222</v>
      </c>
      <c r="F70" s="420" t="s">
        <v>352</v>
      </c>
      <c r="G70" s="230">
        <f t="shared" si="4"/>
        <v>0</v>
      </c>
    </row>
    <row r="71" spans="1:10" ht="18" customHeight="1" x14ac:dyDescent="0.3">
      <c r="A71" s="432" t="s">
        <v>694</v>
      </c>
      <c r="B71" s="433"/>
      <c r="C71" s="434"/>
      <c r="D71" s="435"/>
      <c r="E71" s="435"/>
      <c r="F71" s="436"/>
      <c r="G71" s="437">
        <f>G70</f>
        <v>0</v>
      </c>
      <c r="J71" s="383"/>
    </row>
    <row r="72" spans="1:10" x14ac:dyDescent="0.3">
      <c r="A72" s="438"/>
      <c r="B72" s="439"/>
      <c r="C72" s="439"/>
      <c r="D72" s="440"/>
      <c r="E72" s="440"/>
      <c r="F72" s="440"/>
      <c r="G72" s="393"/>
    </row>
    <row r="75" spans="1:10" x14ac:dyDescent="0.3">
      <c r="B75" s="235" t="s">
        <v>107</v>
      </c>
      <c r="F75" s="236"/>
    </row>
    <row r="76" spans="1:10" x14ac:dyDescent="0.3">
      <c r="F76" s="234"/>
      <c r="G76" s="234"/>
    </row>
    <row r="77" spans="1:10" x14ac:dyDescent="0.3">
      <c r="C77" s="237"/>
      <c r="F77" s="237"/>
      <c r="G77" s="238"/>
    </row>
    <row r="78" spans="1:10" x14ac:dyDescent="0.3">
      <c r="A78" s="234"/>
      <c r="C78" s="239" t="s">
        <v>271</v>
      </c>
      <c r="F78" s="240" t="s">
        <v>276</v>
      </c>
      <c r="G78" s="238"/>
    </row>
    <row r="79" spans="1:10" x14ac:dyDescent="0.3">
      <c r="A79" s="234"/>
      <c r="C79" s="241" t="s">
        <v>140</v>
      </c>
      <c r="F79" s="233" t="s">
        <v>272</v>
      </c>
      <c r="G79" s="234"/>
    </row>
    <row r="80" spans="1:10" x14ac:dyDescent="0.3">
      <c r="A80" s="234"/>
      <c r="C80" s="234"/>
      <c r="D80" s="234"/>
      <c r="E80" s="234"/>
      <c r="F80" s="234"/>
      <c r="G80" s="234"/>
      <c r="I80" s="377"/>
    </row>
    <row r="81" spans="1:18" ht="15.75" x14ac:dyDescent="0.3">
      <c r="A81" s="234"/>
      <c r="B81" s="234"/>
      <c r="C81" s="234"/>
      <c r="D81" s="234"/>
      <c r="E81" s="234"/>
      <c r="F81" s="234"/>
      <c r="G81" s="234"/>
      <c r="R81" s="395"/>
    </row>
    <row r="82" spans="1:18" x14ac:dyDescent="0.3">
      <c r="A82" s="234"/>
      <c r="B82" s="234"/>
      <c r="C82" s="234"/>
      <c r="D82" s="234"/>
      <c r="E82" s="234"/>
      <c r="F82" s="234"/>
      <c r="G82" s="234"/>
    </row>
    <row r="83" spans="1:18" x14ac:dyDescent="0.3">
      <c r="A83"/>
      <c r="B83"/>
      <c r="C83"/>
      <c r="D83"/>
      <c r="E83"/>
      <c r="F83"/>
      <c r="G83"/>
      <c r="J83" s="387"/>
    </row>
    <row r="87" spans="1:18" x14ac:dyDescent="0.3">
      <c r="A87" s="388"/>
      <c r="B87" s="386"/>
      <c r="C87" s="412"/>
      <c r="D87" s="386"/>
      <c r="E87" s="386"/>
      <c r="F87" s="386"/>
      <c r="G87" s="389"/>
    </row>
    <row r="88" spans="1:18" x14ac:dyDescent="0.3">
      <c r="A88" s="388"/>
      <c r="B88" s="386"/>
      <c r="C88" s="413"/>
      <c r="D88" s="389"/>
      <c r="E88" s="389"/>
      <c r="F88" s="389"/>
      <c r="G88" s="389"/>
    </row>
    <row r="89" spans="1:18" x14ac:dyDescent="0.3">
      <c r="A89" s="27"/>
      <c r="B89" s="158"/>
      <c r="C89" s="389"/>
      <c r="D89" s="158"/>
      <c r="E89" s="158"/>
      <c r="F89" s="158"/>
      <c r="G89" s="158"/>
    </row>
    <row r="90" spans="1:18" x14ac:dyDescent="0.3">
      <c r="A90" s="398"/>
      <c r="B90" s="107"/>
      <c r="C90" s="107"/>
      <c r="D90" s="107"/>
      <c r="E90" s="107"/>
      <c r="F90" s="107"/>
      <c r="G90" s="147"/>
    </row>
    <row r="91" spans="1:18" x14ac:dyDescent="0.3">
      <c r="A91" s="385"/>
      <c r="B91" s="385"/>
      <c r="C91" s="385"/>
      <c r="D91" s="385"/>
      <c r="E91" s="385"/>
      <c r="F91" s="388"/>
      <c r="G91" s="388"/>
      <c r="N91" s="411"/>
    </row>
    <row r="92" spans="1:18" x14ac:dyDescent="0.3">
      <c r="A92"/>
      <c r="B92"/>
      <c r="C92"/>
      <c r="D92"/>
      <c r="E92"/>
      <c r="F92"/>
      <c r="G92"/>
    </row>
    <row r="93" spans="1:18" x14ac:dyDescent="0.3">
      <c r="A93" s="388"/>
      <c r="B93" s="386"/>
      <c r="C93" s="386"/>
      <c r="D93" s="386"/>
      <c r="E93" s="386"/>
      <c r="F93" s="386"/>
      <c r="G93" s="389"/>
    </row>
    <row r="94" spans="1:18" x14ac:dyDescent="0.3">
      <c r="A94" s="272"/>
      <c r="B94" s="272"/>
      <c r="C94" s="272"/>
      <c r="D94" s="272"/>
      <c r="E94" s="272"/>
      <c r="F94" s="272"/>
      <c r="G94" s="272"/>
    </row>
    <row r="95" spans="1:18" x14ac:dyDescent="0.3">
      <c r="A95" s="107"/>
      <c r="B95" s="107"/>
      <c r="C95" s="107"/>
      <c r="D95" s="107"/>
      <c r="E95" s="107"/>
      <c r="F95" s="107"/>
      <c r="G95" s="107"/>
    </row>
    <row r="96" spans="1:18" x14ac:dyDescent="0.3">
      <c r="A96" s="107"/>
      <c r="B96" s="107"/>
      <c r="C96" s="107"/>
      <c r="D96" s="107"/>
      <c r="E96" s="107"/>
      <c r="F96" s="107"/>
      <c r="G96" s="107"/>
    </row>
    <row r="97" spans="1:7" x14ac:dyDescent="0.3">
      <c r="A97" s="399"/>
      <c r="B97" s="399"/>
      <c r="C97" s="400"/>
      <c r="D97" s="400"/>
      <c r="E97" s="400"/>
      <c r="F97" s="399"/>
      <c r="G97" s="400"/>
    </row>
    <row r="98" spans="1:7" x14ac:dyDescent="0.3">
      <c r="A98" s="401"/>
      <c r="B98" s="396"/>
      <c r="C98" s="396"/>
      <c r="D98" s="397"/>
      <c r="E98" s="397"/>
      <c r="F98" s="397"/>
      <c r="G98" s="397"/>
    </row>
    <row r="99" spans="1:7" ht="15.75" x14ac:dyDescent="0.3">
      <c r="A99" s="396"/>
      <c r="B99" s="402"/>
      <c r="C99" s="403"/>
      <c r="D99" s="404"/>
      <c r="E99" s="404"/>
      <c r="F99" s="404"/>
      <c r="G99" s="405"/>
    </row>
    <row r="100" spans="1:7" ht="15.75" x14ac:dyDescent="0.3">
      <c r="A100" s="396"/>
      <c r="B100" s="402"/>
      <c r="C100" s="403"/>
      <c r="D100" s="404"/>
      <c r="E100" s="404"/>
      <c r="F100" s="404"/>
      <c r="G100" s="405"/>
    </row>
    <row r="101" spans="1:7" ht="15.75" x14ac:dyDescent="0.3">
      <c r="A101" s="396"/>
      <c r="B101" s="402"/>
      <c r="C101" s="403"/>
      <c r="D101" s="404"/>
      <c r="E101" s="404"/>
      <c r="F101" s="404"/>
      <c r="G101" s="405"/>
    </row>
    <row r="102" spans="1:7" ht="15.75" x14ac:dyDescent="0.3">
      <c r="A102" s="396"/>
      <c r="B102" s="402"/>
      <c r="C102" s="403"/>
      <c r="D102" s="404"/>
      <c r="E102" s="404"/>
      <c r="F102" s="404"/>
      <c r="G102" s="405"/>
    </row>
    <row r="103" spans="1:7" ht="15.75" x14ac:dyDescent="0.3">
      <c r="A103" s="396"/>
      <c r="B103" s="402"/>
      <c r="C103" s="403"/>
      <c r="D103" s="404"/>
      <c r="E103" s="404"/>
      <c r="F103" s="404"/>
      <c r="G103" s="405"/>
    </row>
    <row r="104" spans="1:7" ht="15.75" x14ac:dyDescent="0.3">
      <c r="A104" s="396"/>
      <c r="B104" s="402"/>
      <c r="C104" s="403"/>
      <c r="D104" s="404"/>
      <c r="E104" s="404"/>
      <c r="F104" s="404"/>
      <c r="G104" s="405"/>
    </row>
    <row r="105" spans="1:7" ht="15.75" x14ac:dyDescent="0.3">
      <c r="A105" s="396"/>
      <c r="B105" s="402"/>
      <c r="C105" s="403"/>
      <c r="D105" s="404"/>
      <c r="E105" s="404"/>
      <c r="F105" s="404"/>
      <c r="G105" s="405"/>
    </row>
    <row r="106" spans="1:7" ht="15.75" x14ac:dyDescent="0.3">
      <c r="A106" s="396"/>
      <c r="B106" s="402"/>
      <c r="C106" s="403"/>
      <c r="D106" s="404"/>
      <c r="E106" s="404"/>
      <c r="F106" s="404"/>
      <c r="G106" s="405"/>
    </row>
    <row r="107" spans="1:7" ht="15.75" x14ac:dyDescent="0.3">
      <c r="A107" s="396"/>
      <c r="B107" s="402"/>
      <c r="C107" s="403"/>
      <c r="D107" s="404"/>
      <c r="E107" s="404"/>
      <c r="F107" s="404"/>
      <c r="G107" s="405"/>
    </row>
    <row r="108" spans="1:7" ht="15.75" x14ac:dyDescent="0.3">
      <c r="A108" s="396"/>
      <c r="B108" s="402"/>
      <c r="C108" s="403"/>
      <c r="D108" s="404"/>
      <c r="E108" s="404"/>
      <c r="F108" s="404"/>
      <c r="G108" s="405"/>
    </row>
    <row r="109" spans="1:7" ht="15.75" x14ac:dyDescent="0.3">
      <c r="A109" s="396"/>
      <c r="B109" s="402"/>
      <c r="C109" s="403"/>
      <c r="D109" s="404"/>
      <c r="E109" s="404"/>
      <c r="F109" s="404"/>
      <c r="G109" s="405"/>
    </row>
    <row r="110" spans="1:7" ht="15.75" x14ac:dyDescent="0.3">
      <c r="A110" s="225"/>
      <c r="B110" s="390"/>
      <c r="C110" s="391"/>
      <c r="D110" s="392"/>
      <c r="E110" s="392"/>
      <c r="F110" s="392"/>
      <c r="G110" s="393"/>
    </row>
    <row r="111" spans="1:7" ht="15.75" x14ac:dyDescent="0.3">
      <c r="A111" s="225"/>
      <c r="B111" s="390"/>
      <c r="C111" s="391"/>
      <c r="D111" s="392"/>
      <c r="E111" s="392"/>
      <c r="F111" s="392"/>
      <c r="G111" s="393"/>
    </row>
    <row r="112" spans="1:7" ht="15.75" x14ac:dyDescent="0.3">
      <c r="A112" s="225"/>
      <c r="B112" s="390"/>
      <c r="C112" s="391"/>
      <c r="D112" s="392"/>
      <c r="E112" s="392"/>
      <c r="F112" s="392"/>
      <c r="G112" s="393"/>
    </row>
    <row r="113" spans="1:7" ht="15.75" x14ac:dyDescent="0.3">
      <c r="A113" s="225"/>
      <c r="B113" s="390"/>
      <c r="C113" s="391"/>
      <c r="D113" s="392"/>
      <c r="E113" s="392"/>
      <c r="F113" s="392"/>
      <c r="G113" s="393"/>
    </row>
    <row r="114" spans="1:7" ht="15.75" x14ac:dyDescent="0.3">
      <c r="A114" s="225"/>
      <c r="B114" s="390"/>
      <c r="C114" s="391"/>
      <c r="D114" s="392"/>
      <c r="E114" s="392"/>
      <c r="F114" s="392"/>
      <c r="G114" s="393"/>
    </row>
    <row r="115" spans="1:7" ht="15.75" x14ac:dyDescent="0.3">
      <c r="A115" s="225"/>
      <c r="B115" s="390"/>
      <c r="C115" s="391"/>
      <c r="D115" s="392"/>
      <c r="E115" s="392"/>
      <c r="F115" s="392"/>
      <c r="G115" s="393"/>
    </row>
    <row r="116" spans="1:7" ht="15.75" x14ac:dyDescent="0.3">
      <c r="A116" s="225"/>
      <c r="B116" s="390"/>
      <c r="C116" s="391"/>
      <c r="D116" s="392"/>
      <c r="E116" s="392"/>
      <c r="F116" s="392"/>
      <c r="G116" s="393"/>
    </row>
    <row r="117" spans="1:7" ht="15.75" x14ac:dyDescent="0.3">
      <c r="A117" s="225"/>
      <c r="B117" s="390"/>
      <c r="C117" s="391"/>
      <c r="D117" s="392"/>
      <c r="E117" s="392"/>
      <c r="F117" s="392"/>
      <c r="G117" s="393"/>
    </row>
    <row r="118" spans="1:7" ht="15.75" x14ac:dyDescent="0.3">
      <c r="A118" s="225"/>
      <c r="B118" s="390"/>
      <c r="C118" s="391"/>
      <c r="D118" s="392"/>
      <c r="E118" s="392"/>
      <c r="F118" s="392"/>
      <c r="G118" s="393"/>
    </row>
    <row r="119" spans="1:7" ht="15.75" x14ac:dyDescent="0.3">
      <c r="A119" s="225"/>
      <c r="B119" s="390"/>
      <c r="C119" s="391"/>
      <c r="D119" s="392"/>
      <c r="E119" s="392"/>
      <c r="F119" s="392"/>
      <c r="G119" s="393"/>
    </row>
    <row r="120" spans="1:7" ht="15.75" x14ac:dyDescent="0.3">
      <c r="A120" s="225"/>
      <c r="B120" s="390"/>
      <c r="C120" s="391"/>
      <c r="D120" s="392"/>
      <c r="E120" s="392"/>
      <c r="F120" s="392"/>
      <c r="G120" s="393"/>
    </row>
    <row r="121" spans="1:7" ht="15.75" x14ac:dyDescent="0.3">
      <c r="A121" s="225"/>
      <c r="B121" s="390"/>
      <c r="C121" s="391"/>
      <c r="D121" s="392"/>
      <c r="E121" s="392"/>
      <c r="F121" s="392"/>
      <c r="G121" s="393"/>
    </row>
    <row r="122" spans="1:7" ht="15.75" x14ac:dyDescent="0.3">
      <c r="A122" s="225"/>
      <c r="B122" s="390"/>
      <c r="C122" s="391"/>
      <c r="D122" s="392"/>
      <c r="E122" s="392"/>
      <c r="F122" s="392"/>
      <c r="G122" s="393"/>
    </row>
    <row r="123" spans="1:7" ht="15.75" x14ac:dyDescent="0.3">
      <c r="A123" s="225"/>
      <c r="B123" s="390"/>
      <c r="C123" s="391"/>
      <c r="D123" s="392"/>
      <c r="E123" s="392"/>
      <c r="F123" s="392"/>
      <c r="G123" s="393"/>
    </row>
    <row r="124" spans="1:7" ht="15.75" x14ac:dyDescent="0.3">
      <c r="A124" s="225"/>
      <c r="B124" s="390"/>
      <c r="C124" s="391"/>
      <c r="D124" s="392"/>
      <c r="E124" s="392"/>
      <c r="F124" s="392"/>
      <c r="G124" s="393"/>
    </row>
    <row r="125" spans="1:7" ht="15.75" x14ac:dyDescent="0.3">
      <c r="A125" s="225"/>
      <c r="B125" s="390"/>
      <c r="C125" s="391"/>
      <c r="D125" s="392"/>
      <c r="E125" s="392"/>
      <c r="F125" s="392"/>
      <c r="G125" s="393"/>
    </row>
    <row r="126" spans="1:7" ht="15.75" x14ac:dyDescent="0.3">
      <c r="A126" s="225"/>
      <c r="B126" s="390"/>
      <c r="C126" s="391"/>
      <c r="D126" s="392"/>
      <c r="E126" s="392"/>
      <c r="F126" s="392"/>
      <c r="G126" s="393"/>
    </row>
    <row r="127" spans="1:7" ht="15.75" x14ac:dyDescent="0.3">
      <c r="A127" s="225"/>
      <c r="B127" s="390"/>
      <c r="C127" s="391"/>
      <c r="D127" s="392"/>
      <c r="E127" s="392"/>
      <c r="F127" s="392"/>
      <c r="G127" s="393"/>
    </row>
    <row r="128" spans="1:7" ht="15.75" x14ac:dyDescent="0.3">
      <c r="A128" s="225"/>
      <c r="B128" s="390"/>
      <c r="C128" s="391"/>
      <c r="D128" s="392"/>
      <c r="E128" s="392"/>
      <c r="F128" s="392"/>
      <c r="G128" s="393"/>
    </row>
    <row r="129" spans="1:7" ht="15.75" x14ac:dyDescent="0.3">
      <c r="A129" s="225"/>
      <c r="B129" s="390"/>
      <c r="C129" s="391"/>
      <c r="D129" s="392"/>
      <c r="E129" s="392"/>
      <c r="F129" s="392"/>
      <c r="G129" s="393"/>
    </row>
    <row r="130" spans="1:7" ht="15.75" x14ac:dyDescent="0.3">
      <c r="A130" s="225"/>
      <c r="B130" s="390"/>
      <c r="C130" s="391"/>
      <c r="D130" s="392"/>
      <c r="E130" s="392"/>
      <c r="F130" s="392"/>
      <c r="G130" s="393"/>
    </row>
    <row r="131" spans="1:7" ht="15.75" x14ac:dyDescent="0.3">
      <c r="A131" s="225"/>
      <c r="B131" s="390"/>
      <c r="C131" s="391"/>
      <c r="D131" s="392"/>
      <c r="E131" s="392"/>
      <c r="F131" s="392"/>
      <c r="G131" s="393"/>
    </row>
    <row r="132" spans="1:7" ht="15.75" x14ac:dyDescent="0.3">
      <c r="A132" s="225"/>
      <c r="B132" s="390"/>
      <c r="C132" s="391"/>
      <c r="D132" s="392"/>
      <c r="E132" s="392"/>
      <c r="F132" s="392"/>
      <c r="G132" s="393"/>
    </row>
    <row r="133" spans="1:7" ht="15.75" x14ac:dyDescent="0.3">
      <c r="A133" s="225"/>
      <c r="B133" s="390"/>
      <c r="C133" s="391"/>
      <c r="D133" s="392"/>
      <c r="E133" s="392"/>
      <c r="F133" s="392"/>
      <c r="G133" s="393"/>
    </row>
    <row r="134" spans="1:7" ht="15.75" x14ac:dyDescent="0.3">
      <c r="A134" s="225"/>
      <c r="B134" s="390"/>
      <c r="C134" s="391"/>
      <c r="D134" s="392"/>
      <c r="E134" s="392"/>
      <c r="F134" s="392"/>
      <c r="G134" s="393"/>
    </row>
    <row r="135" spans="1:7" ht="15.75" x14ac:dyDescent="0.3">
      <c r="A135" s="225"/>
      <c r="B135" s="390"/>
      <c r="C135" s="391"/>
      <c r="D135" s="392"/>
      <c r="E135" s="392"/>
      <c r="F135" s="392"/>
      <c r="G135" s="393"/>
    </row>
    <row r="136" spans="1:7" ht="15.75" x14ac:dyDescent="0.3">
      <c r="A136" s="225"/>
      <c r="B136" s="390"/>
      <c r="C136" s="391"/>
      <c r="D136" s="392"/>
      <c r="E136" s="392"/>
      <c r="F136" s="392"/>
      <c r="G136" s="393"/>
    </row>
    <row r="137" spans="1:7" ht="15.75" x14ac:dyDescent="0.3">
      <c r="A137" s="225"/>
      <c r="B137" s="390"/>
      <c r="C137" s="391"/>
      <c r="D137" s="392"/>
      <c r="E137" s="392"/>
      <c r="F137" s="392"/>
      <c r="G137" s="393"/>
    </row>
    <row r="138" spans="1:7" ht="15.75" x14ac:dyDescent="0.3">
      <c r="A138" s="225"/>
      <c r="B138" s="390"/>
      <c r="C138" s="391"/>
      <c r="D138" s="392"/>
      <c r="E138" s="392"/>
      <c r="F138" s="392"/>
      <c r="G138" s="393"/>
    </row>
    <row r="139" spans="1:7" ht="15.75" x14ac:dyDescent="0.3">
      <c r="A139" s="225"/>
      <c r="B139" s="390"/>
      <c r="C139" s="391"/>
      <c r="D139" s="392"/>
      <c r="E139" s="392"/>
      <c r="F139" s="392"/>
      <c r="G139" s="393"/>
    </row>
    <row r="140" spans="1:7" ht="15.75" x14ac:dyDescent="0.3">
      <c r="A140" s="225"/>
      <c r="B140" s="390"/>
      <c r="C140" s="391"/>
      <c r="D140" s="392"/>
      <c r="E140" s="392"/>
      <c r="F140" s="392"/>
      <c r="G140" s="393"/>
    </row>
    <row r="141" spans="1:7" ht="15.75" x14ac:dyDescent="0.3">
      <c r="A141" s="225"/>
      <c r="B141" s="390"/>
      <c r="C141" s="391"/>
      <c r="D141" s="392"/>
      <c r="E141" s="392"/>
      <c r="F141" s="392"/>
      <c r="G141" s="393"/>
    </row>
    <row r="142" spans="1:7" ht="15.75" x14ac:dyDescent="0.3">
      <c r="A142" s="225"/>
      <c r="B142" s="406"/>
      <c r="C142" s="407"/>
      <c r="D142" s="408"/>
      <c r="E142" s="408"/>
      <c r="F142" s="408"/>
      <c r="G142" s="409"/>
    </row>
    <row r="143" spans="1:7" ht="15.75" x14ac:dyDescent="0.3">
      <c r="A143" s="225"/>
      <c r="B143" s="406"/>
      <c r="C143" s="407"/>
      <c r="D143" s="408"/>
      <c r="E143" s="408"/>
      <c r="F143" s="408"/>
      <c r="G143" s="409"/>
    </row>
    <row r="144" spans="1:7" ht="15.75" x14ac:dyDescent="0.3">
      <c r="A144" s="225"/>
      <c r="B144" s="406"/>
      <c r="C144" s="407"/>
      <c r="D144" s="408"/>
      <c r="E144" s="408"/>
      <c r="F144" s="408"/>
      <c r="G144" s="409"/>
    </row>
    <row r="145" spans="1:7" ht="15.75" x14ac:dyDescent="0.3">
      <c r="A145" s="225"/>
      <c r="B145" s="406"/>
      <c r="C145" s="407"/>
      <c r="D145" s="408"/>
      <c r="E145" s="408"/>
      <c r="F145" s="408"/>
      <c r="G145" s="409"/>
    </row>
    <row r="146" spans="1:7" ht="15.75" x14ac:dyDescent="0.3">
      <c r="A146" s="225"/>
      <c r="B146" s="406"/>
      <c r="C146" s="407"/>
      <c r="D146" s="408"/>
      <c r="E146" s="408"/>
      <c r="F146" s="408"/>
      <c r="G146" s="409"/>
    </row>
    <row r="147" spans="1:7" ht="15.75" x14ac:dyDescent="0.3">
      <c r="A147" s="225"/>
      <c r="B147" s="406"/>
      <c r="C147" s="407"/>
      <c r="D147" s="408"/>
      <c r="E147" s="408"/>
      <c r="F147" s="408"/>
      <c r="G147" s="409"/>
    </row>
    <row r="148" spans="1:7" ht="15.75" x14ac:dyDescent="0.3">
      <c r="A148" s="225"/>
      <c r="B148" s="406"/>
      <c r="C148" s="407"/>
      <c r="D148" s="408"/>
      <c r="E148" s="408"/>
      <c r="F148" s="408"/>
      <c r="G148" s="409"/>
    </row>
    <row r="149" spans="1:7" ht="15.75" x14ac:dyDescent="0.3">
      <c r="A149" s="225"/>
      <c r="B149" s="406"/>
      <c r="C149" s="407"/>
      <c r="D149" s="408"/>
      <c r="E149" s="408"/>
      <c r="F149" s="408"/>
      <c r="G149" s="409"/>
    </row>
    <row r="150" spans="1:7" ht="15.75" x14ac:dyDescent="0.3">
      <c r="A150" s="225"/>
      <c r="B150" s="406"/>
      <c r="C150" s="407"/>
      <c r="D150" s="408"/>
      <c r="E150" s="408"/>
      <c r="F150" s="408"/>
      <c r="G150" s="409"/>
    </row>
  </sheetData>
  <mergeCells count="1">
    <mergeCell ref="G2:H2"/>
  </mergeCells>
  <dataValidations count="1">
    <dataValidation allowBlank="1" showInputMessage="1" showErrorMessage="1" prompt="თვე/დღე/წელი" sqref="B41:B69 B99:B150 B10:B39"/>
  </dataValidations>
  <pageMargins left="0.70866141732283472" right="0.70866141732283472" top="0.15748031496062992" bottom="0" header="0.31496062992125984" footer="0.31496062992125984"/>
  <pageSetup scale="55" fitToHeight="2" orientation="portrait" r:id="rId1"/>
  <rowBreaks count="1" manualBreakCount="1">
    <brk id="8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A45" sqref="A45:I5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82" t="s">
        <v>310</v>
      </c>
      <c r="B1" s="183"/>
      <c r="C1" s="183"/>
      <c r="D1" s="183"/>
      <c r="E1" s="183"/>
      <c r="F1" s="108"/>
      <c r="G1" s="108"/>
      <c r="H1" s="108"/>
      <c r="I1" s="536" t="s">
        <v>110</v>
      </c>
      <c r="J1" s="536"/>
      <c r="K1" s="189"/>
    </row>
    <row r="2" spans="1:12" s="23" customFormat="1" ht="15" x14ac:dyDescent="0.3">
      <c r="A2" s="150" t="s">
        <v>141</v>
      </c>
      <c r="B2" s="183"/>
      <c r="C2" s="183"/>
      <c r="D2" s="183"/>
      <c r="E2" s="183"/>
      <c r="F2" s="184"/>
      <c r="G2" s="185"/>
      <c r="H2" s="185"/>
      <c r="I2" s="533" t="s">
        <v>618</v>
      </c>
      <c r="J2" s="534"/>
      <c r="K2" s="189"/>
    </row>
    <row r="3" spans="1:12" s="23" customFormat="1" ht="15" x14ac:dyDescent="0.2">
      <c r="A3" s="183"/>
      <c r="B3" s="183"/>
      <c r="C3" s="183"/>
      <c r="D3" s="183"/>
      <c r="E3" s="183"/>
      <c r="F3" s="184"/>
      <c r="G3" s="185"/>
      <c r="H3" s="185"/>
      <c r="I3" s="186"/>
      <c r="J3" s="105"/>
      <c r="K3" s="189"/>
    </row>
    <row r="4" spans="1:12" s="2" customFormat="1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6"/>
      <c r="F4" s="107"/>
      <c r="G4" s="107"/>
      <c r="H4" s="107"/>
      <c r="I4" s="171"/>
      <c r="J4" s="106"/>
      <c r="K4" s="150"/>
      <c r="L4" s="23"/>
    </row>
    <row r="5" spans="1:12" s="2" customFormat="1" ht="15" x14ac:dyDescent="0.3">
      <c r="A5" s="272" t="s">
        <v>520</v>
      </c>
      <c r="B5" s="110"/>
      <c r="C5" s="110"/>
      <c r="D5" s="110"/>
      <c r="E5" s="110"/>
      <c r="F5" s="110"/>
      <c r="G5" s="59"/>
      <c r="H5" s="59"/>
      <c r="I5" s="177"/>
      <c r="J5" s="59"/>
      <c r="K5" s="150"/>
    </row>
    <row r="6" spans="1:12" s="23" customFormat="1" ht="13.5" x14ac:dyDescent="0.2">
      <c r="A6" s="187"/>
      <c r="B6" s="188"/>
      <c r="C6" s="188"/>
      <c r="D6" s="183"/>
      <c r="E6" s="183"/>
      <c r="F6" s="183"/>
      <c r="G6" s="183"/>
      <c r="H6" s="183"/>
      <c r="I6" s="183"/>
      <c r="J6" s="183"/>
      <c r="K6" s="189"/>
    </row>
    <row r="7" spans="1:12" ht="45" x14ac:dyDescent="0.2">
      <c r="A7" s="178"/>
      <c r="B7" s="538" t="s">
        <v>221</v>
      </c>
      <c r="C7" s="538"/>
      <c r="D7" s="538" t="s">
        <v>298</v>
      </c>
      <c r="E7" s="538"/>
      <c r="F7" s="538" t="s">
        <v>299</v>
      </c>
      <c r="G7" s="538"/>
      <c r="H7" s="201" t="s">
        <v>285</v>
      </c>
      <c r="I7" s="538" t="s">
        <v>224</v>
      </c>
      <c r="J7" s="538"/>
      <c r="K7" s="190"/>
    </row>
    <row r="8" spans="1:12" ht="15" x14ac:dyDescent="0.2">
      <c r="A8" s="179" t="s">
        <v>116</v>
      </c>
      <c r="B8" s="180" t="s">
        <v>223</v>
      </c>
      <c r="C8" s="181" t="s">
        <v>222</v>
      </c>
      <c r="D8" s="180" t="s">
        <v>223</v>
      </c>
      <c r="E8" s="181" t="s">
        <v>222</v>
      </c>
      <c r="F8" s="180" t="s">
        <v>223</v>
      </c>
      <c r="G8" s="181" t="s">
        <v>222</v>
      </c>
      <c r="H8" s="181" t="s">
        <v>222</v>
      </c>
      <c r="I8" s="180" t="s">
        <v>223</v>
      </c>
      <c r="J8" s="181" t="s">
        <v>222</v>
      </c>
      <c r="K8" s="190"/>
    </row>
    <row r="9" spans="1:12" ht="15" x14ac:dyDescent="0.2">
      <c r="A9" s="60" t="s">
        <v>117</v>
      </c>
      <c r="B9" s="112">
        <f>SUM(B10,B14,B17)</f>
        <v>13</v>
      </c>
      <c r="C9" s="112">
        <f>SUM(C10,C14,C17)</f>
        <v>135434.93</v>
      </c>
      <c r="D9" s="112">
        <f t="shared" ref="D9:F9" si="0">SUM(D10,D14,D17)</f>
        <v>4</v>
      </c>
      <c r="E9" s="112">
        <f>SUM(E10,E14,E17)</f>
        <v>9624.16</v>
      </c>
      <c r="F9" s="112">
        <f t="shared" si="0"/>
        <v>2</v>
      </c>
      <c r="G9" s="112">
        <f>SUM(G10,G14,G17)</f>
        <v>88661.95</v>
      </c>
      <c r="H9" s="112">
        <f>SUM(H10,H14,H17)</f>
        <v>38990.979999999996</v>
      </c>
      <c r="I9" s="112">
        <f>B9+D9-F9</f>
        <v>15</v>
      </c>
      <c r="J9" s="112">
        <f>C9+E9-G9-H9</f>
        <v>17406.160000000003</v>
      </c>
      <c r="K9" s="190"/>
    </row>
    <row r="10" spans="1:12" ht="15" x14ac:dyDescent="0.2">
      <c r="A10" s="61" t="s">
        <v>118</v>
      </c>
      <c r="B10" s="178">
        <f>SUM(B11:B13)</f>
        <v>0</v>
      </c>
      <c r="C10" s="178">
        <f>SUM(C11:C13)</f>
        <v>0</v>
      </c>
      <c r="D10" s="178">
        <f t="shared" ref="D10:F10" si="1">SUM(D11:D13)</f>
        <v>0</v>
      </c>
      <c r="E10" s="178">
        <f>SUM(E11:E13)</f>
        <v>0</v>
      </c>
      <c r="F10" s="178">
        <f t="shared" si="1"/>
        <v>0</v>
      </c>
      <c r="G10" s="178">
        <f>SUM(G11:G13)</f>
        <v>0</v>
      </c>
      <c r="H10" s="178">
        <f>SUM(H11:H13)</f>
        <v>0</v>
      </c>
      <c r="I10" s="112">
        <f t="shared" ref="I10:I24" si="2">B10+D10-F10</f>
        <v>0</v>
      </c>
      <c r="J10" s="112">
        <f t="shared" ref="J10:J23" si="3">C10+E10-H10-G10</f>
        <v>0</v>
      </c>
      <c r="K10" s="190"/>
    </row>
    <row r="11" spans="1:12" ht="15" x14ac:dyDescent="0.2">
      <c r="A11" s="61" t="s">
        <v>119</v>
      </c>
      <c r="B11" s="26"/>
      <c r="C11" s="26"/>
      <c r="D11" s="26"/>
      <c r="E11" s="26"/>
      <c r="F11" s="26"/>
      <c r="G11" s="26"/>
      <c r="H11" s="26"/>
      <c r="I11" s="112">
        <f t="shared" si="2"/>
        <v>0</v>
      </c>
      <c r="J11" s="112">
        <f t="shared" si="3"/>
        <v>0</v>
      </c>
      <c r="K11" s="190"/>
    </row>
    <row r="12" spans="1:12" ht="15" x14ac:dyDescent="0.2">
      <c r="A12" s="61" t="s">
        <v>120</v>
      </c>
      <c r="B12" s="26"/>
      <c r="C12" s="26"/>
      <c r="D12" s="26"/>
      <c r="E12" s="26"/>
      <c r="F12" s="26"/>
      <c r="G12" s="26"/>
      <c r="H12" s="26"/>
      <c r="I12" s="112">
        <f t="shared" si="2"/>
        <v>0</v>
      </c>
      <c r="J12" s="112">
        <f t="shared" si="3"/>
        <v>0</v>
      </c>
      <c r="K12" s="190"/>
    </row>
    <row r="13" spans="1:12" ht="15" x14ac:dyDescent="0.2">
      <c r="A13" s="61" t="s">
        <v>121</v>
      </c>
      <c r="B13" s="26"/>
      <c r="C13" s="26"/>
      <c r="D13" s="26"/>
      <c r="E13" s="26"/>
      <c r="F13" s="26"/>
      <c r="G13" s="26"/>
      <c r="H13" s="26"/>
      <c r="I13" s="112">
        <f t="shared" si="2"/>
        <v>0</v>
      </c>
      <c r="J13" s="112">
        <f t="shared" si="3"/>
        <v>0</v>
      </c>
      <c r="K13" s="190"/>
    </row>
    <row r="14" spans="1:12" ht="15" x14ac:dyDescent="0.2">
      <c r="A14" s="61" t="s">
        <v>122</v>
      </c>
      <c r="B14" s="178">
        <f>SUM(B15:B16)</f>
        <v>2</v>
      </c>
      <c r="C14" s="178">
        <f>SUM(C15:C16)</f>
        <v>119092.33</v>
      </c>
      <c r="D14" s="178">
        <f t="shared" ref="D14:F14" si="4">SUM(D15:D16)</f>
        <v>0</v>
      </c>
      <c r="E14" s="178">
        <f>SUM(E15:E16)</f>
        <v>4440.7</v>
      </c>
      <c r="F14" s="178">
        <f t="shared" si="4"/>
        <v>2</v>
      </c>
      <c r="G14" s="178">
        <f>SUM(G15:G16)</f>
        <v>88661.95</v>
      </c>
      <c r="H14" s="178">
        <f>SUM(H15:H16)</f>
        <v>34870.769999999997</v>
      </c>
      <c r="I14" s="112">
        <f t="shared" si="2"/>
        <v>0</v>
      </c>
      <c r="J14" s="112">
        <f t="shared" si="3"/>
        <v>0.31000000001222361</v>
      </c>
      <c r="K14" s="190"/>
    </row>
    <row r="15" spans="1:12" ht="15" x14ac:dyDescent="0.2">
      <c r="A15" s="61" t="s">
        <v>123</v>
      </c>
      <c r="B15" s="26">
        <v>2</v>
      </c>
      <c r="C15" s="26">
        <v>119092.33</v>
      </c>
      <c r="D15" s="26"/>
      <c r="E15" s="26">
        <v>4440.7</v>
      </c>
      <c r="F15" s="26">
        <v>2</v>
      </c>
      <c r="G15" s="26">
        <v>88661.95</v>
      </c>
      <c r="H15" s="26">
        <v>34870.769999999997</v>
      </c>
      <c r="I15" s="112">
        <f t="shared" si="2"/>
        <v>0</v>
      </c>
      <c r="J15" s="112"/>
      <c r="K15" s="190"/>
    </row>
    <row r="16" spans="1:12" ht="15" x14ac:dyDescent="0.2">
      <c r="A16" s="61" t="s">
        <v>124</v>
      </c>
      <c r="B16" s="26"/>
      <c r="C16" s="26"/>
      <c r="D16" s="26"/>
      <c r="E16" s="26"/>
      <c r="F16" s="26"/>
      <c r="G16" s="26"/>
      <c r="H16" s="26"/>
      <c r="I16" s="112">
        <f t="shared" si="2"/>
        <v>0</v>
      </c>
      <c r="J16" s="112">
        <f t="shared" si="3"/>
        <v>0</v>
      </c>
      <c r="K16" s="190"/>
    </row>
    <row r="17" spans="1:11" ht="15" x14ac:dyDescent="0.2">
      <c r="A17" s="61" t="s">
        <v>125</v>
      </c>
      <c r="B17" s="178">
        <f>SUM(B18:B19,B22,B23)</f>
        <v>11</v>
      </c>
      <c r="C17" s="178">
        <f>SUM(C18:C19,C22,C23)</f>
        <v>16342.6</v>
      </c>
      <c r="D17" s="178">
        <f t="shared" ref="D17:F17" si="5">SUM(D18:D19,D22,D23)</f>
        <v>4</v>
      </c>
      <c r="E17" s="178">
        <f>SUM(E18:E19,E22,E23)</f>
        <v>5183.46</v>
      </c>
      <c r="F17" s="178">
        <f t="shared" si="5"/>
        <v>0</v>
      </c>
      <c r="G17" s="178">
        <f>SUM(G18:G19,G22,G23)</f>
        <v>0</v>
      </c>
      <c r="H17" s="178">
        <f>SUM(H18:H19,H22,H23)</f>
        <v>4120.21</v>
      </c>
      <c r="I17" s="112">
        <f t="shared" si="2"/>
        <v>15</v>
      </c>
      <c r="J17" s="112">
        <f t="shared" si="3"/>
        <v>17405.850000000002</v>
      </c>
      <c r="K17" s="190"/>
    </row>
    <row r="18" spans="1:11" ht="15" x14ac:dyDescent="0.2">
      <c r="A18" s="61" t="s">
        <v>126</v>
      </c>
      <c r="B18" s="26">
        <v>11</v>
      </c>
      <c r="C18" s="26">
        <v>16342.6</v>
      </c>
      <c r="D18" s="26">
        <v>4</v>
      </c>
      <c r="E18" s="26">
        <v>5183.46</v>
      </c>
      <c r="F18" s="26"/>
      <c r="G18" s="26"/>
      <c r="H18" s="26">
        <v>4120.21</v>
      </c>
      <c r="I18" s="112">
        <f t="shared" si="2"/>
        <v>15</v>
      </c>
      <c r="J18" s="112">
        <f t="shared" si="3"/>
        <v>17405.850000000002</v>
      </c>
      <c r="K18" s="190"/>
    </row>
    <row r="19" spans="1:11" ht="15" x14ac:dyDescent="0.2">
      <c r="A19" s="61" t="s">
        <v>127</v>
      </c>
      <c r="B19" s="178">
        <f>SUM(B20:B21)</f>
        <v>0</v>
      </c>
      <c r="C19" s="178">
        <f>SUM(C20:C21)</f>
        <v>0</v>
      </c>
      <c r="D19" s="178">
        <f t="shared" ref="D19:F19" si="6">SUM(D20:D21)</f>
        <v>0</v>
      </c>
      <c r="E19" s="178">
        <f>SUM(E20:E21)</f>
        <v>0</v>
      </c>
      <c r="F19" s="178">
        <f t="shared" si="6"/>
        <v>0</v>
      </c>
      <c r="G19" s="178">
        <f>SUM(G20:G21)</f>
        <v>0</v>
      </c>
      <c r="H19" s="178">
        <f>SUM(H20:H21)</f>
        <v>0</v>
      </c>
      <c r="I19" s="112">
        <f t="shared" si="2"/>
        <v>0</v>
      </c>
      <c r="J19" s="112">
        <f t="shared" si="3"/>
        <v>0</v>
      </c>
      <c r="K19" s="190"/>
    </row>
    <row r="20" spans="1:11" ht="15" x14ac:dyDescent="0.2">
      <c r="A20" s="61" t="s">
        <v>128</v>
      </c>
      <c r="B20" s="26"/>
      <c r="C20" s="26"/>
      <c r="D20" s="26"/>
      <c r="E20" s="26"/>
      <c r="F20" s="26"/>
      <c r="G20" s="26"/>
      <c r="H20" s="26"/>
      <c r="I20" s="112">
        <f t="shared" si="2"/>
        <v>0</v>
      </c>
      <c r="J20" s="112">
        <f t="shared" si="3"/>
        <v>0</v>
      </c>
      <c r="K20" s="190"/>
    </row>
    <row r="21" spans="1:11" ht="15" x14ac:dyDescent="0.2">
      <c r="A21" s="61" t="s">
        <v>129</v>
      </c>
      <c r="B21" s="26"/>
      <c r="C21" s="26"/>
      <c r="D21" s="26"/>
      <c r="E21" s="26"/>
      <c r="F21" s="26"/>
      <c r="G21" s="26"/>
      <c r="H21" s="26"/>
      <c r="I21" s="112">
        <f t="shared" si="2"/>
        <v>0</v>
      </c>
      <c r="J21" s="112">
        <f t="shared" si="3"/>
        <v>0</v>
      </c>
      <c r="K21" s="190"/>
    </row>
    <row r="22" spans="1:11" ht="15" x14ac:dyDescent="0.2">
      <c r="A22" s="61" t="s">
        <v>130</v>
      </c>
      <c r="B22" s="26"/>
      <c r="C22" s="26"/>
      <c r="D22" s="26"/>
      <c r="E22" s="26"/>
      <c r="F22" s="26"/>
      <c r="G22" s="26"/>
      <c r="H22" s="26"/>
      <c r="I22" s="112">
        <f t="shared" si="2"/>
        <v>0</v>
      </c>
      <c r="J22" s="112">
        <f t="shared" si="3"/>
        <v>0</v>
      </c>
      <c r="K22" s="190"/>
    </row>
    <row r="23" spans="1:11" ht="15" x14ac:dyDescent="0.2">
      <c r="A23" s="61" t="s">
        <v>131</v>
      </c>
      <c r="B23" s="26"/>
      <c r="C23" s="26"/>
      <c r="D23" s="26"/>
      <c r="E23" s="26"/>
      <c r="F23" s="26"/>
      <c r="G23" s="26"/>
      <c r="H23" s="26"/>
      <c r="I23" s="112">
        <f t="shared" si="2"/>
        <v>0</v>
      </c>
      <c r="J23" s="112">
        <f t="shared" si="3"/>
        <v>0</v>
      </c>
      <c r="K23" s="190"/>
    </row>
    <row r="24" spans="1:11" ht="15" x14ac:dyDescent="0.2">
      <c r="A24" s="60" t="s">
        <v>132</v>
      </c>
      <c r="B24" s="112">
        <f>SUM(B25:B31)</f>
        <v>0</v>
      </c>
      <c r="C24" s="112">
        <f t="shared" ref="C24:J24" si="7">SUM(C25:C31)</f>
        <v>0</v>
      </c>
      <c r="D24" s="112">
        <f t="shared" si="7"/>
        <v>0</v>
      </c>
      <c r="E24" s="112">
        <f t="shared" si="7"/>
        <v>0</v>
      </c>
      <c r="F24" s="112">
        <f t="shared" si="7"/>
        <v>0</v>
      </c>
      <c r="G24" s="112">
        <f t="shared" si="7"/>
        <v>0</v>
      </c>
      <c r="H24" s="112">
        <f t="shared" si="7"/>
        <v>0</v>
      </c>
      <c r="I24" s="112">
        <f t="shared" si="2"/>
        <v>0</v>
      </c>
      <c r="J24" s="112">
        <f t="shared" si="7"/>
        <v>0</v>
      </c>
      <c r="K24" s="190"/>
    </row>
    <row r="25" spans="1:11" ht="15" x14ac:dyDescent="0.2">
      <c r="A25" s="61" t="s">
        <v>261</v>
      </c>
      <c r="B25" s="26"/>
      <c r="C25" s="26"/>
      <c r="D25" s="26"/>
      <c r="E25" s="26"/>
      <c r="F25" s="26"/>
      <c r="G25" s="26"/>
      <c r="H25" s="26"/>
      <c r="I25" s="26"/>
      <c r="J25" s="26"/>
      <c r="K25" s="190"/>
    </row>
    <row r="26" spans="1:11" ht="15" x14ac:dyDescent="0.2">
      <c r="A26" s="61" t="s">
        <v>262</v>
      </c>
      <c r="B26" s="26"/>
      <c r="C26" s="26"/>
      <c r="D26" s="26"/>
      <c r="E26" s="26"/>
      <c r="F26" s="26"/>
      <c r="G26" s="26"/>
      <c r="H26" s="26"/>
      <c r="I26" s="26"/>
      <c r="J26" s="26"/>
      <c r="K26" s="190"/>
    </row>
    <row r="27" spans="1:11" ht="15" x14ac:dyDescent="0.2">
      <c r="A27" s="61" t="s">
        <v>263</v>
      </c>
      <c r="B27" s="26"/>
      <c r="C27" s="26"/>
      <c r="D27" s="26"/>
      <c r="E27" s="26"/>
      <c r="F27" s="26"/>
      <c r="G27" s="26"/>
      <c r="H27" s="26"/>
      <c r="I27" s="26"/>
      <c r="J27" s="26"/>
      <c r="K27" s="190"/>
    </row>
    <row r="28" spans="1:11" ht="15" x14ac:dyDescent="0.2">
      <c r="A28" s="61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190"/>
    </row>
    <row r="29" spans="1:11" ht="15" x14ac:dyDescent="0.2">
      <c r="A29" s="61" t="s">
        <v>265</v>
      </c>
      <c r="B29" s="26"/>
      <c r="C29" s="26"/>
      <c r="D29" s="26"/>
      <c r="E29" s="26"/>
      <c r="F29" s="26"/>
      <c r="G29" s="26"/>
      <c r="H29" s="26"/>
      <c r="I29" s="26"/>
      <c r="J29" s="26"/>
      <c r="K29" s="190"/>
    </row>
    <row r="30" spans="1:11" ht="15" x14ac:dyDescent="0.2">
      <c r="A30" s="61" t="s">
        <v>266</v>
      </c>
      <c r="B30" s="26"/>
      <c r="C30" s="26"/>
      <c r="D30" s="26"/>
      <c r="E30" s="26"/>
      <c r="F30" s="26"/>
      <c r="G30" s="26"/>
      <c r="H30" s="26"/>
      <c r="I30" s="26"/>
      <c r="J30" s="26"/>
      <c r="K30" s="190"/>
    </row>
    <row r="31" spans="1:11" ht="15" x14ac:dyDescent="0.2">
      <c r="A31" s="61" t="s">
        <v>267</v>
      </c>
      <c r="B31" s="26"/>
      <c r="C31" s="26"/>
      <c r="D31" s="26"/>
      <c r="E31" s="26"/>
      <c r="F31" s="26"/>
      <c r="G31" s="26"/>
      <c r="H31" s="26"/>
      <c r="I31" s="26"/>
      <c r="J31" s="26"/>
      <c r="K31" s="190"/>
    </row>
    <row r="32" spans="1:11" ht="15" x14ac:dyDescent="0.2">
      <c r="A32" s="60" t="s">
        <v>133</v>
      </c>
      <c r="B32" s="112">
        <f>SUM(B33:B35)</f>
        <v>0</v>
      </c>
      <c r="C32" s="112">
        <f>SUM(C33:C35)</f>
        <v>0</v>
      </c>
      <c r="D32" s="112">
        <f t="shared" ref="D32:J32" si="8">SUM(D33:D35)</f>
        <v>0</v>
      </c>
      <c r="E32" s="112">
        <f>SUM(E33:E35)</f>
        <v>0</v>
      </c>
      <c r="F32" s="112">
        <f t="shared" si="8"/>
        <v>0</v>
      </c>
      <c r="G32" s="112">
        <f>SUM(G33:G35)</f>
        <v>0</v>
      </c>
      <c r="H32" s="112">
        <f>SUM(H33:H35)</f>
        <v>0</v>
      </c>
      <c r="I32" s="112">
        <f>SUM(I33:I35)</f>
        <v>0</v>
      </c>
      <c r="J32" s="112">
        <f t="shared" si="8"/>
        <v>0</v>
      </c>
      <c r="K32" s="190"/>
    </row>
    <row r="33" spans="1:11" ht="15" x14ac:dyDescent="0.2">
      <c r="A33" s="61" t="s">
        <v>268</v>
      </c>
      <c r="B33" s="26"/>
      <c r="C33" s="26"/>
      <c r="D33" s="26"/>
      <c r="E33" s="26"/>
      <c r="F33" s="26"/>
      <c r="G33" s="26"/>
      <c r="H33" s="26"/>
      <c r="I33" s="26"/>
      <c r="J33" s="26"/>
      <c r="K33" s="190"/>
    </row>
    <row r="34" spans="1:11" ht="15" x14ac:dyDescent="0.2">
      <c r="A34" s="61" t="s">
        <v>269</v>
      </c>
      <c r="B34" s="26"/>
      <c r="C34" s="26"/>
      <c r="D34" s="26"/>
      <c r="E34" s="26"/>
      <c r="F34" s="26"/>
      <c r="G34" s="26"/>
      <c r="H34" s="26"/>
      <c r="I34" s="26"/>
      <c r="J34" s="26"/>
      <c r="K34" s="190"/>
    </row>
    <row r="35" spans="1:11" ht="15" x14ac:dyDescent="0.2">
      <c r="A35" s="61" t="s">
        <v>270</v>
      </c>
      <c r="B35" s="26"/>
      <c r="C35" s="26"/>
      <c r="D35" s="26"/>
      <c r="E35" s="26"/>
      <c r="F35" s="26"/>
      <c r="G35" s="26"/>
      <c r="H35" s="26"/>
      <c r="I35" s="26"/>
      <c r="J35" s="26"/>
      <c r="K35" s="190"/>
    </row>
    <row r="36" spans="1:11" ht="15" x14ac:dyDescent="0.2">
      <c r="A36" s="60" t="s">
        <v>134</v>
      </c>
      <c r="B36" s="112">
        <f t="shared" ref="B36:J36" si="9">SUM(B37:B39,B42)</f>
        <v>0</v>
      </c>
      <c r="C36" s="112">
        <f t="shared" si="9"/>
        <v>0</v>
      </c>
      <c r="D36" s="112">
        <f t="shared" si="9"/>
        <v>0</v>
      </c>
      <c r="E36" s="112">
        <f t="shared" si="9"/>
        <v>0</v>
      </c>
      <c r="F36" s="112">
        <f t="shared" si="9"/>
        <v>0</v>
      </c>
      <c r="G36" s="112">
        <f t="shared" si="9"/>
        <v>0</v>
      </c>
      <c r="H36" s="112">
        <f t="shared" si="9"/>
        <v>0</v>
      </c>
      <c r="I36" s="112">
        <f t="shared" si="9"/>
        <v>0</v>
      </c>
      <c r="J36" s="112">
        <f t="shared" si="9"/>
        <v>0</v>
      </c>
      <c r="K36" s="190"/>
    </row>
    <row r="37" spans="1:11" ht="15" x14ac:dyDescent="0.2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90"/>
    </row>
    <row r="38" spans="1:11" ht="15" x14ac:dyDescent="0.2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90"/>
    </row>
    <row r="39" spans="1:11" ht="15" x14ac:dyDescent="0.2">
      <c r="A39" s="61" t="s">
        <v>137</v>
      </c>
      <c r="B39" s="178">
        <f t="shared" ref="B39:J39" si="10">SUM(B40:B41)</f>
        <v>0</v>
      </c>
      <c r="C39" s="178">
        <f t="shared" si="10"/>
        <v>0</v>
      </c>
      <c r="D39" s="178">
        <f t="shared" si="10"/>
        <v>0</v>
      </c>
      <c r="E39" s="178">
        <f t="shared" si="10"/>
        <v>0</v>
      </c>
      <c r="F39" s="178">
        <f t="shared" si="10"/>
        <v>0</v>
      </c>
      <c r="G39" s="178">
        <f t="shared" si="10"/>
        <v>0</v>
      </c>
      <c r="H39" s="178">
        <f t="shared" si="10"/>
        <v>0</v>
      </c>
      <c r="I39" s="178">
        <f t="shared" si="10"/>
        <v>0</v>
      </c>
      <c r="J39" s="178">
        <f t="shared" si="10"/>
        <v>0</v>
      </c>
      <c r="K39" s="190"/>
    </row>
    <row r="40" spans="1:11" ht="30" x14ac:dyDescent="0.2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90"/>
    </row>
    <row r="41" spans="1:11" ht="15" x14ac:dyDescent="0.2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90"/>
    </row>
    <row r="42" spans="1:11" ht="15" x14ac:dyDescent="0.2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90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98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97"/>
      <c r="C48" s="97"/>
      <c r="F48" s="97"/>
      <c r="G48" s="100"/>
      <c r="H48" s="97"/>
      <c r="I48"/>
      <c r="J48"/>
    </row>
    <row r="49" spans="1:10" s="2" customFormat="1" ht="15" x14ac:dyDescent="0.3">
      <c r="B49" s="96" t="s">
        <v>271</v>
      </c>
      <c r="F49" s="12" t="s">
        <v>276</v>
      </c>
      <c r="G49" s="99"/>
      <c r="I49"/>
      <c r="J49"/>
    </row>
    <row r="50" spans="1:10" s="2" customFormat="1" ht="15" x14ac:dyDescent="0.3">
      <c r="B50" s="91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A5" sqref="A5:F5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89" customWidth="1"/>
    <col min="11" max="11" width="12.7109375" style="89" customWidth="1"/>
    <col min="12" max="12" width="9.140625" style="90"/>
    <col min="13" max="16384" width="9.140625" style="25"/>
  </cols>
  <sheetData>
    <row r="1" spans="1:12" s="23" customFormat="1" ht="15" x14ac:dyDescent="0.2">
      <c r="A1" s="182" t="s">
        <v>311</v>
      </c>
      <c r="B1" s="183"/>
      <c r="C1" s="183"/>
      <c r="D1" s="183"/>
      <c r="E1" s="183"/>
      <c r="F1" s="183"/>
      <c r="G1" s="189"/>
      <c r="H1" s="130" t="s">
        <v>199</v>
      </c>
      <c r="I1" s="189"/>
      <c r="J1" s="93"/>
      <c r="K1" s="93"/>
      <c r="L1" s="93"/>
    </row>
    <row r="2" spans="1:12" s="23" customFormat="1" ht="15" x14ac:dyDescent="0.3">
      <c r="A2" s="150" t="s">
        <v>141</v>
      </c>
      <c r="B2" s="183"/>
      <c r="C2" s="183"/>
      <c r="D2" s="183"/>
      <c r="E2" s="183"/>
      <c r="F2" s="183"/>
      <c r="G2" s="191"/>
      <c r="H2" s="245" t="s">
        <v>521</v>
      </c>
      <c r="I2" s="191"/>
      <c r="J2" s="93"/>
      <c r="K2" s="93"/>
      <c r="L2" s="93"/>
    </row>
    <row r="3" spans="1:12" s="23" customFormat="1" ht="15" x14ac:dyDescent="0.2">
      <c r="A3" s="183"/>
      <c r="B3" s="183"/>
      <c r="C3" s="183"/>
      <c r="D3" s="183"/>
      <c r="E3" s="183"/>
      <c r="F3" s="183"/>
      <c r="G3" s="191"/>
      <c r="H3" s="186"/>
      <c r="I3" s="191"/>
      <c r="J3" s="93"/>
      <c r="K3" s="93"/>
      <c r="L3" s="93"/>
    </row>
    <row r="4" spans="1:12" s="2" customFormat="1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83"/>
      <c r="F4" s="183"/>
      <c r="G4" s="183"/>
      <c r="H4" s="183"/>
      <c r="I4" s="189"/>
      <c r="J4" s="89"/>
      <c r="K4" s="89"/>
      <c r="L4" s="23"/>
    </row>
    <row r="5" spans="1:12" s="2" customFormat="1" ht="15" x14ac:dyDescent="0.3">
      <c r="A5" s="272" t="s">
        <v>520</v>
      </c>
      <c r="B5" s="110"/>
      <c r="C5" s="110"/>
      <c r="D5" s="110"/>
      <c r="E5" s="110"/>
      <c r="F5" s="110"/>
      <c r="G5" s="194"/>
      <c r="H5" s="194"/>
      <c r="I5" s="189"/>
      <c r="J5" s="89"/>
      <c r="K5" s="89"/>
      <c r="L5" s="12"/>
    </row>
    <row r="6" spans="1:12" s="23" customFormat="1" ht="13.5" x14ac:dyDescent="0.2">
      <c r="A6" s="187"/>
      <c r="B6" s="188"/>
      <c r="C6" s="188"/>
      <c r="D6" s="188"/>
      <c r="E6" s="183"/>
      <c r="F6" s="183"/>
      <c r="G6" s="183"/>
      <c r="H6" s="183"/>
      <c r="I6" s="189"/>
      <c r="J6" s="89"/>
      <c r="K6" s="89"/>
      <c r="L6" s="89"/>
    </row>
    <row r="7" spans="1:12" ht="30" x14ac:dyDescent="0.2">
      <c r="A7" s="179" t="s">
        <v>64</v>
      </c>
      <c r="B7" s="179" t="s">
        <v>383</v>
      </c>
      <c r="C7" s="181" t="s">
        <v>384</v>
      </c>
      <c r="D7" s="181" t="s">
        <v>238</v>
      </c>
      <c r="E7" s="181" t="s">
        <v>243</v>
      </c>
      <c r="F7" s="181" t="s">
        <v>244</v>
      </c>
      <c r="G7" s="181" t="s">
        <v>245</v>
      </c>
      <c r="H7" s="181" t="s">
        <v>246</v>
      </c>
      <c r="I7" s="189"/>
    </row>
    <row r="8" spans="1:12" ht="15" x14ac:dyDescent="0.2">
      <c r="A8" s="179">
        <v>1</v>
      </c>
      <c r="B8" s="179">
        <v>2</v>
      </c>
      <c r="C8" s="181">
        <v>3</v>
      </c>
      <c r="D8" s="179">
        <v>4</v>
      </c>
      <c r="E8" s="181">
        <v>5</v>
      </c>
      <c r="F8" s="179">
        <v>6</v>
      </c>
      <c r="G8" s="181">
        <v>7</v>
      </c>
      <c r="H8" s="181">
        <v>8</v>
      </c>
      <c r="I8" s="189"/>
    </row>
    <row r="9" spans="1:12" ht="15" x14ac:dyDescent="0.25">
      <c r="A9" s="94">
        <v>1</v>
      </c>
      <c r="B9" s="26"/>
      <c r="C9" s="26"/>
      <c r="D9" s="26"/>
      <c r="E9" s="26"/>
      <c r="F9" s="26"/>
      <c r="G9" s="202"/>
      <c r="H9" s="26"/>
      <c r="I9" s="189"/>
    </row>
    <row r="10" spans="1:12" ht="15" x14ac:dyDescent="0.25">
      <c r="A10" s="94">
        <v>2</v>
      </c>
      <c r="B10" s="26"/>
      <c r="C10" s="26"/>
      <c r="D10" s="26"/>
      <c r="E10" s="26"/>
      <c r="F10" s="26"/>
      <c r="G10" s="202"/>
      <c r="H10" s="26"/>
      <c r="I10" s="189"/>
    </row>
    <row r="11" spans="1:12" ht="15" x14ac:dyDescent="0.25">
      <c r="A11" s="94">
        <v>3</v>
      </c>
      <c r="B11" s="26"/>
      <c r="C11" s="26"/>
      <c r="D11" s="26"/>
      <c r="E11" s="26"/>
      <c r="F11" s="26"/>
      <c r="G11" s="202"/>
      <c r="H11" s="26"/>
      <c r="I11" s="189"/>
    </row>
    <row r="12" spans="1:12" ht="15" x14ac:dyDescent="0.25">
      <c r="A12" s="94">
        <v>4</v>
      </c>
      <c r="B12" s="26"/>
      <c r="C12" s="26"/>
      <c r="D12" s="26"/>
      <c r="E12" s="26"/>
      <c r="F12" s="26"/>
      <c r="G12" s="202"/>
      <c r="H12" s="26"/>
      <c r="I12" s="189"/>
    </row>
    <row r="13" spans="1:12" ht="15" x14ac:dyDescent="0.25">
      <c r="A13" s="94">
        <v>5</v>
      </c>
      <c r="B13" s="26"/>
      <c r="C13" s="26"/>
      <c r="D13" s="26"/>
      <c r="E13" s="26"/>
      <c r="F13" s="26"/>
      <c r="G13" s="202"/>
      <c r="H13" s="26"/>
      <c r="I13" s="189"/>
    </row>
    <row r="14" spans="1:12" ht="15" x14ac:dyDescent="0.25">
      <c r="A14" s="94">
        <v>6</v>
      </c>
      <c r="B14" s="26"/>
      <c r="C14" s="26"/>
      <c r="D14" s="26"/>
      <c r="E14" s="26"/>
      <c r="F14" s="26"/>
      <c r="G14" s="202"/>
      <c r="H14" s="26"/>
      <c r="I14" s="189"/>
    </row>
    <row r="15" spans="1:12" s="23" customFormat="1" ht="15" x14ac:dyDescent="0.25">
      <c r="A15" s="94">
        <v>7</v>
      </c>
      <c r="B15" s="26"/>
      <c r="C15" s="26"/>
      <c r="D15" s="26"/>
      <c r="E15" s="26"/>
      <c r="F15" s="26"/>
      <c r="G15" s="202"/>
      <c r="H15" s="26"/>
      <c r="I15" s="189"/>
      <c r="J15" s="89"/>
      <c r="K15" s="89"/>
      <c r="L15" s="89"/>
    </row>
    <row r="16" spans="1:12" s="23" customFormat="1" ht="15" x14ac:dyDescent="0.25">
      <c r="A16" s="94">
        <v>8</v>
      </c>
      <c r="B16" s="26"/>
      <c r="C16" s="26"/>
      <c r="D16" s="26"/>
      <c r="E16" s="26"/>
      <c r="F16" s="26"/>
      <c r="G16" s="202"/>
      <c r="H16" s="26"/>
      <c r="I16" s="189"/>
      <c r="J16" s="89"/>
      <c r="K16" s="89"/>
      <c r="L16" s="89"/>
    </row>
    <row r="17" spans="1:12" s="23" customFormat="1" ht="15" x14ac:dyDescent="0.25">
      <c r="A17" s="94">
        <v>9</v>
      </c>
      <c r="B17" s="26"/>
      <c r="C17" s="26"/>
      <c r="D17" s="26"/>
      <c r="E17" s="26"/>
      <c r="F17" s="26"/>
      <c r="G17" s="202"/>
      <c r="H17" s="26"/>
      <c r="I17" s="189"/>
      <c r="J17" s="89"/>
      <c r="K17" s="89"/>
      <c r="L17" s="89"/>
    </row>
    <row r="18" spans="1:12" s="23" customFormat="1" ht="15" x14ac:dyDescent="0.25">
      <c r="A18" s="94">
        <v>10</v>
      </c>
      <c r="B18" s="26"/>
      <c r="C18" s="26"/>
      <c r="D18" s="26"/>
      <c r="E18" s="26"/>
      <c r="F18" s="26"/>
      <c r="G18" s="202"/>
      <c r="H18" s="26"/>
      <c r="I18" s="189"/>
      <c r="J18" s="89"/>
      <c r="K18" s="89"/>
      <c r="L18" s="89"/>
    </row>
    <row r="19" spans="1:12" s="23" customFormat="1" ht="15" x14ac:dyDescent="0.25">
      <c r="A19" s="94">
        <v>11</v>
      </c>
      <c r="B19" s="26"/>
      <c r="C19" s="26"/>
      <c r="D19" s="26"/>
      <c r="E19" s="26"/>
      <c r="F19" s="26"/>
      <c r="G19" s="202"/>
      <c r="H19" s="26"/>
      <c r="I19" s="189"/>
      <c r="J19" s="89"/>
      <c r="K19" s="89"/>
      <c r="L19" s="89"/>
    </row>
    <row r="20" spans="1:12" s="23" customFormat="1" ht="15" x14ac:dyDescent="0.25">
      <c r="A20" s="94">
        <v>12</v>
      </c>
      <c r="B20" s="26"/>
      <c r="C20" s="26"/>
      <c r="D20" s="26"/>
      <c r="E20" s="26"/>
      <c r="F20" s="26"/>
      <c r="G20" s="202"/>
      <c r="H20" s="26"/>
      <c r="I20" s="189"/>
      <c r="J20" s="89"/>
      <c r="K20" s="89"/>
      <c r="L20" s="89"/>
    </row>
    <row r="21" spans="1:12" s="23" customFormat="1" ht="15" x14ac:dyDescent="0.25">
      <c r="A21" s="94">
        <v>13</v>
      </c>
      <c r="B21" s="26"/>
      <c r="C21" s="26"/>
      <c r="D21" s="26"/>
      <c r="E21" s="26"/>
      <c r="F21" s="26"/>
      <c r="G21" s="202"/>
      <c r="H21" s="26"/>
      <c r="I21" s="189"/>
      <c r="J21" s="89"/>
      <c r="K21" s="89"/>
      <c r="L21" s="89"/>
    </row>
    <row r="22" spans="1:12" s="23" customFormat="1" ht="15" x14ac:dyDescent="0.25">
      <c r="A22" s="94">
        <v>14</v>
      </c>
      <c r="B22" s="26"/>
      <c r="C22" s="26"/>
      <c r="D22" s="26"/>
      <c r="E22" s="26"/>
      <c r="F22" s="26"/>
      <c r="G22" s="202"/>
      <c r="H22" s="26"/>
      <c r="I22" s="189"/>
      <c r="J22" s="89"/>
      <c r="K22" s="89"/>
      <c r="L22" s="89"/>
    </row>
    <row r="23" spans="1:12" s="23" customFormat="1" ht="15" x14ac:dyDescent="0.25">
      <c r="A23" s="94">
        <v>15</v>
      </c>
      <c r="B23" s="26"/>
      <c r="C23" s="26"/>
      <c r="D23" s="26"/>
      <c r="E23" s="26"/>
      <c r="F23" s="26"/>
      <c r="G23" s="202"/>
      <c r="H23" s="26"/>
      <c r="I23" s="189"/>
      <c r="J23" s="89"/>
      <c r="K23" s="89"/>
      <c r="L23" s="89"/>
    </row>
    <row r="24" spans="1:12" s="23" customFormat="1" ht="15" x14ac:dyDescent="0.25">
      <c r="A24" s="94">
        <v>16</v>
      </c>
      <c r="B24" s="26"/>
      <c r="C24" s="26"/>
      <c r="D24" s="26"/>
      <c r="E24" s="26"/>
      <c r="F24" s="26"/>
      <c r="G24" s="202"/>
      <c r="H24" s="26"/>
      <c r="I24" s="189"/>
      <c r="J24" s="89"/>
      <c r="K24" s="89"/>
      <c r="L24" s="89"/>
    </row>
    <row r="25" spans="1:12" s="23" customFormat="1" ht="15" x14ac:dyDescent="0.25">
      <c r="A25" s="94">
        <v>17</v>
      </c>
      <c r="B25" s="26"/>
      <c r="C25" s="26"/>
      <c r="D25" s="26"/>
      <c r="E25" s="26"/>
      <c r="F25" s="26"/>
      <c r="G25" s="202"/>
      <c r="H25" s="26"/>
      <c r="I25" s="189"/>
      <c r="J25" s="89"/>
      <c r="K25" s="89"/>
      <c r="L25" s="89"/>
    </row>
    <row r="26" spans="1:12" s="23" customFormat="1" ht="15" x14ac:dyDescent="0.25">
      <c r="A26" s="94">
        <v>18</v>
      </c>
      <c r="B26" s="26"/>
      <c r="C26" s="26"/>
      <c r="D26" s="26"/>
      <c r="E26" s="26"/>
      <c r="F26" s="26"/>
      <c r="G26" s="202"/>
      <c r="H26" s="26"/>
      <c r="I26" s="189"/>
      <c r="J26" s="89"/>
      <c r="K26" s="89"/>
      <c r="L26" s="89"/>
    </row>
    <row r="27" spans="1:12" s="23" customFormat="1" ht="15" x14ac:dyDescent="0.25">
      <c r="A27" s="94" t="s">
        <v>284</v>
      </c>
      <c r="B27" s="26"/>
      <c r="C27" s="26"/>
      <c r="D27" s="26"/>
      <c r="E27" s="26"/>
      <c r="F27" s="26"/>
      <c r="G27" s="202"/>
      <c r="H27" s="26"/>
      <c r="I27" s="189"/>
      <c r="J27" s="89"/>
      <c r="K27" s="89"/>
      <c r="L27" s="89"/>
    </row>
    <row r="28" spans="1:12" s="23" customFormat="1" x14ac:dyDescent="0.2">
      <c r="J28" s="89"/>
      <c r="K28" s="89"/>
      <c r="L28" s="89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98" t="s">
        <v>107</v>
      </c>
      <c r="E31" s="5"/>
    </row>
    <row r="32" spans="1:12" s="2" customFormat="1" ht="15" x14ac:dyDescent="0.3">
      <c r="C32" s="97"/>
      <c r="E32" s="97"/>
      <c r="F32" s="100"/>
      <c r="G32"/>
      <c r="H32"/>
      <c r="I32"/>
    </row>
    <row r="33" spans="1:9" s="2" customFormat="1" ht="15" x14ac:dyDescent="0.3">
      <c r="A33"/>
      <c r="C33" s="96" t="s">
        <v>271</v>
      </c>
      <c r="E33" s="12" t="s">
        <v>276</v>
      </c>
      <c r="F33" s="99"/>
      <c r="G33"/>
      <c r="H33"/>
      <c r="I33"/>
    </row>
    <row r="34" spans="1:9" s="2" customFormat="1" ht="15" x14ac:dyDescent="0.3">
      <c r="A34"/>
      <c r="C34" s="91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90" customWidth="1"/>
    <col min="11" max="16384" width="9.140625" style="25"/>
  </cols>
  <sheetData>
    <row r="1" spans="1:12" s="23" customFormat="1" ht="15" x14ac:dyDescent="0.2">
      <c r="A1" s="182" t="s">
        <v>312</v>
      </c>
      <c r="B1" s="183"/>
      <c r="C1" s="183"/>
      <c r="D1" s="183"/>
      <c r="E1" s="183"/>
      <c r="F1" s="183"/>
      <c r="G1" s="183"/>
      <c r="H1" s="189"/>
      <c r="I1" s="108" t="s">
        <v>199</v>
      </c>
      <c r="J1" s="196"/>
    </row>
    <row r="2" spans="1:12" s="23" customFormat="1" ht="15" x14ac:dyDescent="0.3">
      <c r="A2" s="150" t="s">
        <v>141</v>
      </c>
      <c r="B2" s="183"/>
      <c r="C2" s="183"/>
      <c r="D2" s="183"/>
      <c r="E2" s="183"/>
      <c r="F2" s="183"/>
      <c r="G2" s="183"/>
      <c r="H2" s="189"/>
      <c r="I2" s="245" t="s">
        <v>521</v>
      </c>
      <c r="J2" s="196"/>
    </row>
    <row r="3" spans="1:12" s="23" customFormat="1" ht="15" x14ac:dyDescent="0.2">
      <c r="A3" s="183"/>
      <c r="B3" s="183"/>
      <c r="C3" s="183"/>
      <c r="D3" s="183"/>
      <c r="E3" s="183"/>
      <c r="F3" s="183"/>
      <c r="G3" s="183"/>
      <c r="H3" s="186"/>
      <c r="I3" s="186"/>
      <c r="J3" s="196"/>
    </row>
    <row r="4" spans="1:12" s="2" customFormat="1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7"/>
      <c r="E4" s="192"/>
      <c r="F4" s="183"/>
      <c r="G4" s="183"/>
      <c r="H4" s="183"/>
      <c r="I4" s="192"/>
      <c r="J4" s="149"/>
      <c r="L4" s="23"/>
    </row>
    <row r="5" spans="1:12" s="2" customFormat="1" ht="15" x14ac:dyDescent="0.3">
      <c r="A5" s="272" t="s">
        <v>520</v>
      </c>
      <c r="B5" s="110"/>
      <c r="C5" s="110"/>
      <c r="D5" s="110"/>
      <c r="E5" s="110"/>
      <c r="F5" s="110"/>
      <c r="G5" s="194"/>
      <c r="H5" s="194"/>
      <c r="I5" s="193"/>
      <c r="J5" s="149"/>
    </row>
    <row r="6" spans="1:12" s="23" customFormat="1" ht="13.5" x14ac:dyDescent="0.2">
      <c r="A6" s="187"/>
      <c r="B6" s="188"/>
      <c r="C6" s="188"/>
      <c r="D6" s="188"/>
      <c r="E6" s="183"/>
      <c r="F6" s="183"/>
      <c r="G6" s="183"/>
      <c r="H6" s="183"/>
      <c r="I6" s="183"/>
      <c r="J6" s="191"/>
    </row>
    <row r="7" spans="1:12" ht="30" x14ac:dyDescent="0.2">
      <c r="A7" s="195" t="s">
        <v>64</v>
      </c>
      <c r="B7" s="179" t="s">
        <v>251</v>
      </c>
      <c r="C7" s="181" t="s">
        <v>247</v>
      </c>
      <c r="D7" s="181" t="s">
        <v>248</v>
      </c>
      <c r="E7" s="181" t="s">
        <v>249</v>
      </c>
      <c r="F7" s="181" t="s">
        <v>250</v>
      </c>
      <c r="G7" s="181" t="s">
        <v>244</v>
      </c>
      <c r="H7" s="181" t="s">
        <v>245</v>
      </c>
      <c r="I7" s="181" t="s">
        <v>246</v>
      </c>
      <c r="J7" s="197"/>
    </row>
    <row r="8" spans="1:12" ht="15" x14ac:dyDescent="0.2">
      <c r="A8" s="179">
        <v>1</v>
      </c>
      <c r="B8" s="179">
        <v>2</v>
      </c>
      <c r="C8" s="181">
        <v>3</v>
      </c>
      <c r="D8" s="179">
        <v>4</v>
      </c>
      <c r="E8" s="181">
        <v>5</v>
      </c>
      <c r="F8" s="179">
        <v>6</v>
      </c>
      <c r="G8" s="181">
        <v>7</v>
      </c>
      <c r="H8" s="179">
        <v>8</v>
      </c>
      <c r="I8" s="181">
        <v>9</v>
      </c>
      <c r="J8" s="197"/>
    </row>
    <row r="9" spans="1:12" ht="15" x14ac:dyDescent="0.25">
      <c r="A9" s="94">
        <v>1</v>
      </c>
      <c r="B9" s="26"/>
      <c r="C9" s="26"/>
      <c r="D9" s="26"/>
      <c r="E9" s="26"/>
      <c r="F9" s="26"/>
      <c r="G9" s="26"/>
      <c r="H9" s="202"/>
      <c r="I9" s="26"/>
      <c r="J9" s="197"/>
    </row>
    <row r="10" spans="1:12" ht="15" x14ac:dyDescent="0.25">
      <c r="A10" s="94">
        <v>2</v>
      </c>
      <c r="B10" s="26"/>
      <c r="C10" s="26"/>
      <c r="D10" s="26"/>
      <c r="E10" s="26"/>
      <c r="F10" s="26"/>
      <c r="G10" s="26"/>
      <c r="H10" s="202"/>
      <c r="I10" s="26"/>
      <c r="J10" s="197"/>
    </row>
    <row r="11" spans="1:12" ht="15" x14ac:dyDescent="0.25">
      <c r="A11" s="94">
        <v>3</v>
      </c>
      <c r="B11" s="26"/>
      <c r="C11" s="26"/>
      <c r="D11" s="26"/>
      <c r="E11" s="26"/>
      <c r="F11" s="26"/>
      <c r="G11" s="26"/>
      <c r="H11" s="202"/>
      <c r="I11" s="26"/>
      <c r="J11" s="197"/>
    </row>
    <row r="12" spans="1:12" ht="15" x14ac:dyDescent="0.25">
      <c r="A12" s="94">
        <v>4</v>
      </c>
      <c r="B12" s="26"/>
      <c r="C12" s="26"/>
      <c r="D12" s="26"/>
      <c r="E12" s="26"/>
      <c r="F12" s="26"/>
      <c r="G12" s="26"/>
      <c r="H12" s="202"/>
      <c r="I12" s="26"/>
      <c r="J12" s="197"/>
    </row>
    <row r="13" spans="1:12" ht="15" x14ac:dyDescent="0.25">
      <c r="A13" s="94">
        <v>5</v>
      </c>
      <c r="B13" s="26"/>
      <c r="C13" s="26"/>
      <c r="D13" s="26"/>
      <c r="E13" s="26"/>
      <c r="F13" s="26"/>
      <c r="G13" s="26"/>
      <c r="H13" s="202"/>
      <c r="I13" s="26"/>
      <c r="J13" s="197"/>
    </row>
    <row r="14" spans="1:12" ht="15" x14ac:dyDescent="0.25">
      <c r="A14" s="94">
        <v>6</v>
      </c>
      <c r="B14" s="26"/>
      <c r="C14" s="26"/>
      <c r="D14" s="26"/>
      <c r="E14" s="26"/>
      <c r="F14" s="26"/>
      <c r="G14" s="26"/>
      <c r="H14" s="202"/>
      <c r="I14" s="26"/>
      <c r="J14" s="197"/>
    </row>
    <row r="15" spans="1:12" s="23" customFormat="1" ht="15" x14ac:dyDescent="0.25">
      <c r="A15" s="94">
        <v>7</v>
      </c>
      <c r="B15" s="26"/>
      <c r="C15" s="26"/>
      <c r="D15" s="26"/>
      <c r="E15" s="26"/>
      <c r="F15" s="26"/>
      <c r="G15" s="26"/>
      <c r="H15" s="202"/>
      <c r="I15" s="26"/>
      <c r="J15" s="191"/>
    </row>
    <row r="16" spans="1:12" s="23" customFormat="1" ht="15" x14ac:dyDescent="0.25">
      <c r="A16" s="94">
        <v>8</v>
      </c>
      <c r="B16" s="26"/>
      <c r="C16" s="26"/>
      <c r="D16" s="26"/>
      <c r="E16" s="26"/>
      <c r="F16" s="26"/>
      <c r="G16" s="26"/>
      <c r="H16" s="202"/>
      <c r="I16" s="26"/>
      <c r="J16" s="191"/>
    </row>
    <row r="17" spans="1:10" s="23" customFormat="1" ht="15" x14ac:dyDescent="0.25">
      <c r="A17" s="94">
        <v>9</v>
      </c>
      <c r="B17" s="26"/>
      <c r="C17" s="26"/>
      <c r="D17" s="26"/>
      <c r="E17" s="26"/>
      <c r="F17" s="26"/>
      <c r="G17" s="26"/>
      <c r="H17" s="202"/>
      <c r="I17" s="26"/>
      <c r="J17" s="191"/>
    </row>
    <row r="18" spans="1:10" s="23" customFormat="1" ht="15" x14ac:dyDescent="0.25">
      <c r="A18" s="94">
        <v>10</v>
      </c>
      <c r="B18" s="26"/>
      <c r="C18" s="26"/>
      <c r="D18" s="26"/>
      <c r="E18" s="26"/>
      <c r="F18" s="26"/>
      <c r="G18" s="26"/>
      <c r="H18" s="202"/>
      <c r="I18" s="26"/>
      <c r="J18" s="191"/>
    </row>
    <row r="19" spans="1:10" s="23" customFormat="1" ht="15" x14ac:dyDescent="0.25">
      <c r="A19" s="94">
        <v>11</v>
      </c>
      <c r="B19" s="26"/>
      <c r="C19" s="26"/>
      <c r="D19" s="26"/>
      <c r="E19" s="26"/>
      <c r="F19" s="26"/>
      <c r="G19" s="26"/>
      <c r="H19" s="202"/>
      <c r="I19" s="26"/>
      <c r="J19" s="191"/>
    </row>
    <row r="20" spans="1:10" s="23" customFormat="1" ht="15" x14ac:dyDescent="0.25">
      <c r="A20" s="94">
        <v>12</v>
      </c>
      <c r="B20" s="26"/>
      <c r="C20" s="26"/>
      <c r="D20" s="26"/>
      <c r="E20" s="26"/>
      <c r="F20" s="26"/>
      <c r="G20" s="26"/>
      <c r="H20" s="202"/>
      <c r="I20" s="26"/>
      <c r="J20" s="191"/>
    </row>
    <row r="21" spans="1:10" s="23" customFormat="1" ht="15" x14ac:dyDescent="0.25">
      <c r="A21" s="94">
        <v>13</v>
      </c>
      <c r="B21" s="26"/>
      <c r="C21" s="26"/>
      <c r="D21" s="26"/>
      <c r="E21" s="26"/>
      <c r="F21" s="26"/>
      <c r="G21" s="26"/>
      <c r="H21" s="202"/>
      <c r="I21" s="26"/>
      <c r="J21" s="191"/>
    </row>
    <row r="22" spans="1:10" s="23" customFormat="1" ht="15" x14ac:dyDescent="0.25">
      <c r="A22" s="94">
        <v>14</v>
      </c>
      <c r="B22" s="26"/>
      <c r="C22" s="26"/>
      <c r="D22" s="26"/>
      <c r="E22" s="26"/>
      <c r="F22" s="26"/>
      <c r="G22" s="26"/>
      <c r="H22" s="202"/>
      <c r="I22" s="26"/>
      <c r="J22" s="191"/>
    </row>
    <row r="23" spans="1:10" s="23" customFormat="1" ht="15" x14ac:dyDescent="0.25">
      <c r="A23" s="94">
        <v>15</v>
      </c>
      <c r="B23" s="26"/>
      <c r="C23" s="26"/>
      <c r="D23" s="26"/>
      <c r="E23" s="26"/>
      <c r="F23" s="26"/>
      <c r="G23" s="26"/>
      <c r="H23" s="202"/>
      <c r="I23" s="26"/>
      <c r="J23" s="191"/>
    </row>
    <row r="24" spans="1:10" s="23" customFormat="1" ht="15" x14ac:dyDescent="0.25">
      <c r="A24" s="94">
        <v>16</v>
      </c>
      <c r="B24" s="26"/>
      <c r="C24" s="26"/>
      <c r="D24" s="26"/>
      <c r="E24" s="26"/>
      <c r="F24" s="26"/>
      <c r="G24" s="26"/>
      <c r="H24" s="202"/>
      <c r="I24" s="26"/>
      <c r="J24" s="191"/>
    </row>
    <row r="25" spans="1:10" s="23" customFormat="1" ht="15" x14ac:dyDescent="0.25">
      <c r="A25" s="94">
        <v>17</v>
      </c>
      <c r="B25" s="26"/>
      <c r="C25" s="26"/>
      <c r="D25" s="26"/>
      <c r="E25" s="26"/>
      <c r="F25" s="26"/>
      <c r="G25" s="26"/>
      <c r="H25" s="202"/>
      <c r="I25" s="26"/>
      <c r="J25" s="191"/>
    </row>
    <row r="26" spans="1:10" s="23" customFormat="1" ht="15" x14ac:dyDescent="0.25">
      <c r="A26" s="94">
        <v>18</v>
      </c>
      <c r="B26" s="26"/>
      <c r="C26" s="26"/>
      <c r="D26" s="26"/>
      <c r="E26" s="26"/>
      <c r="F26" s="26"/>
      <c r="G26" s="26"/>
      <c r="H26" s="202"/>
      <c r="I26" s="26"/>
      <c r="J26" s="191"/>
    </row>
    <row r="27" spans="1:10" s="23" customFormat="1" ht="15" x14ac:dyDescent="0.25">
      <c r="A27" s="94" t="s">
        <v>284</v>
      </c>
      <c r="B27" s="26"/>
      <c r="C27" s="26"/>
      <c r="D27" s="26"/>
      <c r="E27" s="26"/>
      <c r="F27" s="26"/>
      <c r="G27" s="26"/>
      <c r="H27" s="202"/>
      <c r="I27" s="26"/>
      <c r="J27" s="191"/>
    </row>
    <row r="28" spans="1:10" s="23" customFormat="1" x14ac:dyDescent="0.2">
      <c r="J28" s="89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98" t="s">
        <v>107</v>
      </c>
      <c r="E31" s="5"/>
    </row>
    <row r="32" spans="1:10" s="2" customFormat="1" ht="15" x14ac:dyDescent="0.3">
      <c r="C32" s="97"/>
      <c r="E32" s="97"/>
      <c r="F32" s="100"/>
      <c r="G32" s="100"/>
      <c r="H32"/>
      <c r="I32"/>
    </row>
    <row r="33" spans="1:10" s="2" customFormat="1" ht="15" x14ac:dyDescent="0.3">
      <c r="A33"/>
      <c r="C33" s="96" t="s">
        <v>271</v>
      </c>
      <c r="E33" s="12" t="s">
        <v>276</v>
      </c>
      <c r="F33" s="99"/>
      <c r="G33"/>
      <c r="H33"/>
      <c r="I33"/>
    </row>
    <row r="34" spans="1:10" s="2" customFormat="1" ht="15" x14ac:dyDescent="0.3">
      <c r="A34"/>
      <c r="C34" s="91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89"/>
    </row>
    <row r="38" spans="1:10" s="23" customFormat="1" x14ac:dyDescent="0.2">
      <c r="J38" s="89"/>
    </row>
    <row r="39" spans="1:10" s="23" customFormat="1" x14ac:dyDescent="0.2">
      <c r="J39" s="89"/>
    </row>
    <row r="40" spans="1:10" s="23" customFormat="1" x14ac:dyDescent="0.2">
      <c r="J40" s="89"/>
    </row>
    <row r="41" spans="1:10" s="23" customFormat="1" x14ac:dyDescent="0.2">
      <c r="J41" s="89"/>
    </row>
    <row r="42" spans="1:10" s="23" customFormat="1" x14ac:dyDescent="0.2">
      <c r="J42" s="89"/>
    </row>
    <row r="43" spans="1:10" s="23" customFormat="1" x14ac:dyDescent="0.2">
      <c r="J43" s="89"/>
    </row>
    <row r="44" spans="1:10" s="23" customFormat="1" x14ac:dyDescent="0.2">
      <c r="J44" s="89"/>
    </row>
    <row r="45" spans="1:10" s="23" customFormat="1" x14ac:dyDescent="0.2">
      <c r="J45" s="89"/>
    </row>
    <row r="46" spans="1:10" s="23" customFormat="1" x14ac:dyDescent="0.2">
      <c r="J46" s="89"/>
    </row>
    <row r="47" spans="1:10" s="23" customFormat="1" x14ac:dyDescent="0.2">
      <c r="J47" s="89"/>
    </row>
    <row r="48" spans="1:10" s="23" customFormat="1" x14ac:dyDescent="0.2">
      <c r="J48" s="89"/>
    </row>
    <row r="49" spans="10:10" s="23" customFormat="1" x14ac:dyDescent="0.2">
      <c r="J49" s="89"/>
    </row>
    <row r="50" spans="10:10" s="23" customFormat="1" x14ac:dyDescent="0.2">
      <c r="J50" s="89"/>
    </row>
    <row r="51" spans="10:10" s="23" customFormat="1" x14ac:dyDescent="0.2">
      <c r="J51" s="89"/>
    </row>
    <row r="52" spans="10:10" s="23" customFormat="1" x14ac:dyDescent="0.2">
      <c r="J52" s="89"/>
    </row>
    <row r="53" spans="10:10" s="23" customFormat="1" x14ac:dyDescent="0.2">
      <c r="J53" s="89"/>
    </row>
    <row r="54" spans="10:10" s="23" customFormat="1" x14ac:dyDescent="0.2">
      <c r="J54" s="89"/>
    </row>
  </sheetData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RowHeight="12.75" x14ac:dyDescent="0.2"/>
  <cols>
    <col min="1" max="1" width="4.85546875" style="262" customWidth="1"/>
    <col min="2" max="2" width="37.42578125" style="262" customWidth="1"/>
    <col min="3" max="3" width="21.5703125" style="262" customWidth="1"/>
    <col min="4" max="4" width="20" style="262" customWidth="1"/>
    <col min="5" max="5" width="18.7109375" style="262" customWidth="1"/>
    <col min="6" max="6" width="24.140625" style="262" customWidth="1"/>
    <col min="7" max="7" width="27.140625" style="262" customWidth="1"/>
    <col min="8" max="8" width="0.7109375" style="262" customWidth="1"/>
    <col min="9" max="16384" width="9.140625" style="262"/>
  </cols>
  <sheetData>
    <row r="1" spans="1:8" s="246" customFormat="1" ht="15" x14ac:dyDescent="0.2">
      <c r="A1" s="242" t="s">
        <v>331</v>
      </c>
      <c r="B1" s="243"/>
      <c r="C1" s="243"/>
      <c r="D1" s="243"/>
      <c r="E1" s="243"/>
      <c r="F1" s="108"/>
      <c r="G1" s="108" t="s">
        <v>110</v>
      </c>
      <c r="H1" s="247"/>
    </row>
    <row r="2" spans="1:8" s="246" customFormat="1" x14ac:dyDescent="0.2">
      <c r="A2" s="247" t="s">
        <v>322</v>
      </c>
      <c r="B2" s="243"/>
      <c r="C2" s="243"/>
      <c r="D2" s="243"/>
      <c r="E2" s="244"/>
      <c r="F2" s="244"/>
      <c r="G2" s="245" t="s">
        <v>521</v>
      </c>
      <c r="H2" s="247"/>
    </row>
    <row r="3" spans="1:8" s="246" customFormat="1" x14ac:dyDescent="0.2">
      <c r="A3" s="247"/>
      <c r="B3" s="243"/>
      <c r="C3" s="243"/>
      <c r="D3" s="243"/>
      <c r="E3" s="244"/>
      <c r="F3" s="244"/>
      <c r="G3" s="244"/>
      <c r="H3" s="247"/>
    </row>
    <row r="4" spans="1:8" s="246" customFormat="1" ht="15" x14ac:dyDescent="0.3">
      <c r="A4" s="161" t="s">
        <v>277</v>
      </c>
      <c r="B4" s="243"/>
      <c r="C4" s="243"/>
      <c r="D4" s="243"/>
      <c r="E4" s="248"/>
      <c r="F4" s="248"/>
      <c r="G4" s="244"/>
      <c r="H4" s="247"/>
    </row>
    <row r="5" spans="1:8" s="246" customFormat="1" ht="15" x14ac:dyDescent="0.3">
      <c r="A5" s="272" t="s">
        <v>520</v>
      </c>
      <c r="B5" s="110"/>
      <c r="C5" s="110"/>
      <c r="D5" s="110"/>
      <c r="E5" s="110"/>
      <c r="F5" s="110"/>
      <c r="G5" s="250"/>
      <c r="H5" s="247"/>
    </row>
    <row r="6" spans="1:8" s="263" customFormat="1" x14ac:dyDescent="0.2">
      <c r="A6" s="251"/>
      <c r="B6" s="251"/>
      <c r="C6" s="251"/>
      <c r="D6" s="251"/>
      <c r="E6" s="251"/>
      <c r="F6" s="251"/>
      <c r="G6" s="251"/>
      <c r="H6" s="248"/>
    </row>
    <row r="7" spans="1:8" s="246" customFormat="1" ht="51" x14ac:dyDescent="0.2">
      <c r="A7" s="282" t="s">
        <v>64</v>
      </c>
      <c r="B7" s="254" t="s">
        <v>326</v>
      </c>
      <c r="C7" s="254" t="s">
        <v>327</v>
      </c>
      <c r="D7" s="254" t="s">
        <v>328</v>
      </c>
      <c r="E7" s="254" t="s">
        <v>329</v>
      </c>
      <c r="F7" s="254" t="s">
        <v>330</v>
      </c>
      <c r="G7" s="254" t="s">
        <v>323</v>
      </c>
      <c r="H7" s="247"/>
    </row>
    <row r="8" spans="1:8" s="246" customFormat="1" x14ac:dyDescent="0.2">
      <c r="A8" s="252">
        <v>1</v>
      </c>
      <c r="B8" s="253">
        <v>2</v>
      </c>
      <c r="C8" s="253">
        <v>3</v>
      </c>
      <c r="D8" s="253">
        <v>4</v>
      </c>
      <c r="E8" s="254">
        <v>5</v>
      </c>
      <c r="F8" s="254">
        <v>6</v>
      </c>
      <c r="G8" s="254">
        <v>7</v>
      </c>
      <c r="H8" s="247"/>
    </row>
    <row r="9" spans="1:8" s="246" customFormat="1" x14ac:dyDescent="0.2">
      <c r="A9" s="264">
        <v>1</v>
      </c>
      <c r="B9" s="255"/>
      <c r="C9" s="255"/>
      <c r="D9" s="256"/>
      <c r="E9" s="255"/>
      <c r="F9" s="255"/>
      <c r="G9" s="255"/>
      <c r="H9" s="247"/>
    </row>
    <row r="10" spans="1:8" s="246" customFormat="1" x14ac:dyDescent="0.2">
      <c r="A10" s="264">
        <v>2</v>
      </c>
      <c r="B10" s="255"/>
      <c r="C10" s="255"/>
      <c r="D10" s="256"/>
      <c r="E10" s="255"/>
      <c r="F10" s="255"/>
      <c r="G10" s="255"/>
      <c r="H10" s="247"/>
    </row>
    <row r="11" spans="1:8" s="246" customFormat="1" x14ac:dyDescent="0.2">
      <c r="A11" s="264">
        <v>3</v>
      </c>
      <c r="B11" s="255"/>
      <c r="C11" s="255"/>
      <c r="D11" s="256"/>
      <c r="E11" s="255"/>
      <c r="F11" s="255"/>
      <c r="G11" s="255"/>
      <c r="H11" s="247"/>
    </row>
    <row r="12" spans="1:8" s="246" customFormat="1" x14ac:dyDescent="0.2">
      <c r="A12" s="264">
        <v>4</v>
      </c>
      <c r="B12" s="255"/>
      <c r="C12" s="255"/>
      <c r="D12" s="256"/>
      <c r="E12" s="255"/>
      <c r="F12" s="255"/>
      <c r="G12" s="255"/>
      <c r="H12" s="247"/>
    </row>
    <row r="13" spans="1:8" s="246" customFormat="1" x14ac:dyDescent="0.2">
      <c r="A13" s="264">
        <v>5</v>
      </c>
      <c r="B13" s="255"/>
      <c r="C13" s="255"/>
      <c r="D13" s="256"/>
      <c r="E13" s="255"/>
      <c r="F13" s="255"/>
      <c r="G13" s="255"/>
      <c r="H13" s="247"/>
    </row>
    <row r="14" spans="1:8" s="246" customFormat="1" x14ac:dyDescent="0.2">
      <c r="A14" s="264">
        <v>6</v>
      </c>
      <c r="B14" s="255"/>
      <c r="C14" s="255"/>
      <c r="D14" s="256"/>
      <c r="E14" s="255"/>
      <c r="F14" s="255"/>
      <c r="G14" s="255"/>
      <c r="H14" s="247"/>
    </row>
    <row r="15" spans="1:8" s="246" customFormat="1" x14ac:dyDescent="0.2">
      <c r="A15" s="264">
        <v>7</v>
      </c>
      <c r="B15" s="255"/>
      <c r="C15" s="255"/>
      <c r="D15" s="256"/>
      <c r="E15" s="255"/>
      <c r="F15" s="255"/>
      <c r="G15" s="255"/>
      <c r="H15" s="247"/>
    </row>
    <row r="16" spans="1:8" s="246" customFormat="1" x14ac:dyDescent="0.2">
      <c r="A16" s="264">
        <v>8</v>
      </c>
      <c r="B16" s="255"/>
      <c r="C16" s="255"/>
      <c r="D16" s="256"/>
      <c r="E16" s="255"/>
      <c r="F16" s="255"/>
      <c r="G16" s="255"/>
      <c r="H16" s="247"/>
    </row>
    <row r="17" spans="1:11" s="246" customFormat="1" x14ac:dyDescent="0.2">
      <c r="A17" s="264">
        <v>9</v>
      </c>
      <c r="B17" s="255"/>
      <c r="C17" s="255"/>
      <c r="D17" s="256"/>
      <c r="E17" s="255"/>
      <c r="F17" s="255"/>
      <c r="G17" s="255"/>
      <c r="H17" s="247"/>
    </row>
    <row r="18" spans="1:11" s="246" customFormat="1" x14ac:dyDescent="0.2">
      <c r="A18" s="264">
        <v>10</v>
      </c>
      <c r="B18" s="255"/>
      <c r="C18" s="255"/>
      <c r="D18" s="256"/>
      <c r="E18" s="255"/>
      <c r="F18" s="255"/>
      <c r="G18" s="255"/>
      <c r="H18" s="247"/>
    </row>
    <row r="19" spans="1:11" s="246" customFormat="1" x14ac:dyDescent="0.2">
      <c r="A19" s="264" t="s">
        <v>281</v>
      </c>
      <c r="B19" s="255"/>
      <c r="C19" s="255"/>
      <c r="D19" s="256"/>
      <c r="E19" s="255"/>
      <c r="F19" s="255"/>
      <c r="G19" s="255"/>
      <c r="H19" s="247"/>
    </row>
    <row r="22" spans="1:11" s="246" customFormat="1" x14ac:dyDescent="0.2"/>
    <row r="23" spans="1:11" s="246" customFormat="1" x14ac:dyDescent="0.2"/>
    <row r="24" spans="1:11" s="21" customFormat="1" ht="15" x14ac:dyDescent="0.3">
      <c r="B24" s="257" t="s">
        <v>107</v>
      </c>
      <c r="C24" s="257"/>
    </row>
    <row r="25" spans="1:11" s="21" customFormat="1" ht="15" x14ac:dyDescent="0.3">
      <c r="B25" s="257"/>
      <c r="C25" s="257"/>
    </row>
    <row r="26" spans="1:11" s="21" customFormat="1" ht="15" x14ac:dyDescent="0.3">
      <c r="C26" s="259"/>
      <c r="F26" s="259"/>
      <c r="G26" s="259"/>
      <c r="H26" s="258"/>
    </row>
    <row r="27" spans="1:11" s="21" customFormat="1" ht="15" x14ac:dyDescent="0.3">
      <c r="C27" s="260" t="s">
        <v>271</v>
      </c>
      <c r="F27" s="257" t="s">
        <v>324</v>
      </c>
      <c r="J27" s="258"/>
      <c r="K27" s="258"/>
    </row>
    <row r="28" spans="1:11" s="21" customFormat="1" ht="15" x14ac:dyDescent="0.3">
      <c r="C28" s="260" t="s">
        <v>140</v>
      </c>
      <c r="F28" s="261" t="s">
        <v>272</v>
      </c>
      <c r="J28" s="258"/>
      <c r="K28" s="258"/>
    </row>
    <row r="29" spans="1:11" s="246" customFormat="1" ht="15" x14ac:dyDescent="0.3">
      <c r="C29" s="260"/>
      <c r="J29" s="263"/>
      <c r="K29" s="26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view="pageBreakPreview" zoomScale="70" zoomScaleNormal="80" zoomScaleSheetLayoutView="70" workbookViewId="0">
      <selection activeCell="L11" sqref="L11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82" t="s">
        <v>467</v>
      </c>
      <c r="B1" s="183"/>
      <c r="C1" s="183"/>
      <c r="D1" s="183"/>
      <c r="E1" s="183"/>
      <c r="F1" s="183"/>
      <c r="G1" s="183"/>
      <c r="H1" s="183"/>
      <c r="I1" s="183"/>
      <c r="J1" s="183"/>
      <c r="K1" s="108" t="s">
        <v>110</v>
      </c>
    </row>
    <row r="2" spans="1:12" ht="15" x14ac:dyDescent="0.3">
      <c r="A2" s="150" t="s">
        <v>141</v>
      </c>
      <c r="B2" s="183"/>
      <c r="C2" s="183"/>
      <c r="D2" s="183"/>
      <c r="E2" s="183"/>
      <c r="F2" s="183"/>
      <c r="G2" s="183"/>
      <c r="H2" s="183"/>
      <c r="I2" s="183"/>
      <c r="J2" s="183"/>
      <c r="K2" s="533" t="s">
        <v>618</v>
      </c>
      <c r="L2" s="534"/>
    </row>
    <row r="3" spans="1:12" ht="15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6"/>
    </row>
    <row r="4" spans="1:12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7"/>
      <c r="E4" s="192"/>
      <c r="F4" s="183"/>
      <c r="G4" s="183"/>
      <c r="H4" s="183"/>
      <c r="I4" s="183"/>
      <c r="J4" s="183"/>
      <c r="K4" s="192"/>
    </row>
    <row r="5" spans="1:12" s="234" customFormat="1" ht="15" x14ac:dyDescent="0.3">
      <c r="A5" s="272" t="s">
        <v>520</v>
      </c>
      <c r="B5" s="110"/>
      <c r="C5" s="110"/>
      <c r="D5" s="110"/>
      <c r="E5" s="110"/>
      <c r="F5" s="110"/>
      <c r="G5" s="274"/>
      <c r="H5" s="274"/>
      <c r="I5" s="274"/>
      <c r="J5" s="274"/>
      <c r="K5" s="273"/>
    </row>
    <row r="6" spans="1:12" ht="13.5" x14ac:dyDescent="0.2">
      <c r="A6" s="187"/>
      <c r="B6" s="188"/>
      <c r="C6" s="188"/>
      <c r="D6" s="188"/>
      <c r="E6" s="183"/>
      <c r="F6" s="183"/>
      <c r="G6" s="183"/>
      <c r="H6" s="183"/>
      <c r="I6" s="183"/>
      <c r="J6" s="183"/>
      <c r="K6" s="183"/>
    </row>
    <row r="7" spans="1:12" ht="60" x14ac:dyDescent="0.2">
      <c r="A7" s="195" t="s">
        <v>64</v>
      </c>
      <c r="B7" s="181" t="s">
        <v>385</v>
      </c>
      <c r="C7" s="181" t="s">
        <v>386</v>
      </c>
      <c r="D7" s="181" t="s">
        <v>388</v>
      </c>
      <c r="E7" s="181" t="s">
        <v>387</v>
      </c>
      <c r="F7" s="181" t="s">
        <v>396</v>
      </c>
      <c r="G7" s="181" t="s">
        <v>397</v>
      </c>
      <c r="H7" s="181" t="s">
        <v>391</v>
      </c>
      <c r="I7" s="181" t="s">
        <v>392</v>
      </c>
      <c r="J7" s="181" t="s">
        <v>404</v>
      </c>
      <c r="K7" s="181" t="s">
        <v>393</v>
      </c>
    </row>
    <row r="8" spans="1:12" ht="15" x14ac:dyDescent="0.2">
      <c r="A8" s="179">
        <v>1</v>
      </c>
      <c r="B8" s="179">
        <v>2</v>
      </c>
      <c r="C8" s="181">
        <v>3</v>
      </c>
      <c r="D8" s="179">
        <v>4</v>
      </c>
      <c r="E8" s="181">
        <v>5</v>
      </c>
      <c r="F8" s="179">
        <v>6</v>
      </c>
      <c r="G8" s="181">
        <v>7</v>
      </c>
      <c r="H8" s="179">
        <v>8</v>
      </c>
      <c r="I8" s="181">
        <v>9</v>
      </c>
      <c r="J8" s="179">
        <v>10</v>
      </c>
      <c r="K8" s="181">
        <v>11</v>
      </c>
    </row>
    <row r="9" spans="1:12" ht="30" x14ac:dyDescent="0.2">
      <c r="A9" s="94">
        <v>1</v>
      </c>
      <c r="B9" s="26" t="s">
        <v>983</v>
      </c>
      <c r="C9" s="26" t="s">
        <v>984</v>
      </c>
      <c r="D9" s="26" t="s">
        <v>985</v>
      </c>
      <c r="E9" s="521">
        <f>(125+342.8)/6</f>
        <v>77.966666666666669</v>
      </c>
      <c r="F9" s="521">
        <f>4765.69/6</f>
        <v>794.28166666666664</v>
      </c>
      <c r="G9" s="522"/>
      <c r="H9" s="26"/>
      <c r="I9" s="26"/>
      <c r="J9" s="522">
        <v>205177057</v>
      </c>
      <c r="K9" s="26" t="s">
        <v>474</v>
      </c>
    </row>
    <row r="10" spans="1:12" ht="30" x14ac:dyDescent="0.2">
      <c r="A10" s="94">
        <v>2</v>
      </c>
      <c r="B10" s="26" t="s">
        <v>986</v>
      </c>
      <c r="C10" s="26" t="s">
        <v>984</v>
      </c>
      <c r="D10" s="26" t="s">
        <v>985</v>
      </c>
      <c r="E10" s="521"/>
      <c r="F10" s="521">
        <f>2471.82/6</f>
        <v>411.97</v>
      </c>
      <c r="G10" s="522"/>
      <c r="H10" s="26"/>
      <c r="I10" s="26"/>
      <c r="J10" s="522">
        <v>205177057</v>
      </c>
      <c r="K10" s="26" t="s">
        <v>474</v>
      </c>
    </row>
    <row r="11" spans="1:12" ht="30" x14ac:dyDescent="0.2">
      <c r="A11" s="94">
        <v>3</v>
      </c>
      <c r="B11" s="26" t="s">
        <v>987</v>
      </c>
      <c r="C11" s="26" t="s">
        <v>984</v>
      </c>
      <c r="D11" s="26" t="s">
        <v>988</v>
      </c>
      <c r="E11" s="521">
        <f>229.58/6</f>
        <v>38.263333333333335</v>
      </c>
      <c r="F11" s="521">
        <f>1978.52/6</f>
        <v>329.75333333333333</v>
      </c>
      <c r="G11" s="522"/>
      <c r="H11" s="26"/>
      <c r="I11" s="26"/>
      <c r="J11" s="522">
        <v>205177057</v>
      </c>
      <c r="K11" s="26" t="s">
        <v>474</v>
      </c>
    </row>
    <row r="12" spans="1:12" ht="45" x14ac:dyDescent="0.2">
      <c r="A12" s="94">
        <v>4</v>
      </c>
      <c r="B12" s="26" t="s">
        <v>989</v>
      </c>
      <c r="C12" s="26" t="s">
        <v>984</v>
      </c>
      <c r="D12" s="26" t="s">
        <v>985</v>
      </c>
      <c r="E12" s="521">
        <f>200/6</f>
        <v>33.333333333333336</v>
      </c>
      <c r="F12" s="521">
        <f>4089.98/6</f>
        <v>681.6633333333333</v>
      </c>
      <c r="G12" s="522"/>
      <c r="H12" s="26"/>
      <c r="I12" s="26"/>
      <c r="J12" s="522">
        <v>205177057</v>
      </c>
      <c r="K12" s="26" t="s">
        <v>474</v>
      </c>
    </row>
    <row r="13" spans="1:12" ht="30" x14ac:dyDescent="0.2">
      <c r="A13" s="94">
        <v>5</v>
      </c>
      <c r="B13" s="26" t="s">
        <v>990</v>
      </c>
      <c r="C13" s="26" t="s">
        <v>984</v>
      </c>
      <c r="D13" s="26" t="s">
        <v>988</v>
      </c>
      <c r="E13" s="521">
        <f>140/6</f>
        <v>23.333333333333332</v>
      </c>
      <c r="F13" s="521">
        <f>1807.58/6</f>
        <v>301.26333333333332</v>
      </c>
      <c r="G13" s="522"/>
      <c r="H13" s="26"/>
      <c r="I13" s="26"/>
      <c r="J13" s="522">
        <v>205177057</v>
      </c>
      <c r="K13" s="26" t="s">
        <v>474</v>
      </c>
    </row>
    <row r="14" spans="1:12" ht="30" x14ac:dyDescent="0.2">
      <c r="A14" s="94">
        <v>6</v>
      </c>
      <c r="B14" s="26" t="s">
        <v>991</v>
      </c>
      <c r="C14" s="26" t="s">
        <v>984</v>
      </c>
      <c r="D14" s="26" t="s">
        <v>988</v>
      </c>
      <c r="E14" s="521">
        <f>177.5/6</f>
        <v>29.583333333333332</v>
      </c>
      <c r="F14" s="521">
        <f>1796.03/6</f>
        <v>299.33833333333331</v>
      </c>
      <c r="G14" s="522"/>
      <c r="H14" s="26"/>
      <c r="I14" s="26"/>
      <c r="J14" s="522">
        <v>205177057</v>
      </c>
      <c r="K14" s="26" t="s">
        <v>474</v>
      </c>
    </row>
    <row r="15" spans="1:12" ht="30" x14ac:dyDescent="0.2">
      <c r="A15" s="94">
        <v>7</v>
      </c>
      <c r="B15" s="26" t="s">
        <v>992</v>
      </c>
      <c r="C15" s="26" t="s">
        <v>984</v>
      </c>
      <c r="D15" s="26" t="s">
        <v>985</v>
      </c>
      <c r="E15" s="521">
        <f>84/6</f>
        <v>14</v>
      </c>
      <c r="F15" s="521">
        <f>5997.57/6</f>
        <v>999.59499999999991</v>
      </c>
      <c r="G15" s="522"/>
      <c r="H15" s="26"/>
      <c r="I15" s="26"/>
      <c r="J15" s="522">
        <v>205177057</v>
      </c>
      <c r="K15" s="26" t="s">
        <v>474</v>
      </c>
    </row>
    <row r="16" spans="1:12" ht="30" x14ac:dyDescent="0.2">
      <c r="A16" s="94">
        <v>8</v>
      </c>
      <c r="B16" s="26" t="s">
        <v>993</v>
      </c>
      <c r="C16" s="26" t="s">
        <v>984</v>
      </c>
      <c r="D16" s="26" t="s">
        <v>994</v>
      </c>
      <c r="E16" s="521">
        <f>1946.343/6</f>
        <v>324.39050000000003</v>
      </c>
      <c r="F16" s="521">
        <f>(38926.86*1.6625)/6</f>
        <v>10785.984125000001</v>
      </c>
      <c r="G16" s="522"/>
      <c r="H16" s="26"/>
      <c r="I16" s="26"/>
      <c r="J16" s="522">
        <v>205283637</v>
      </c>
      <c r="K16" s="26" t="s">
        <v>995</v>
      </c>
    </row>
    <row r="17" spans="1:11" ht="30" x14ac:dyDescent="0.2">
      <c r="A17" s="94">
        <v>9</v>
      </c>
      <c r="B17" s="26" t="s">
        <v>996</v>
      </c>
      <c r="C17" s="26" t="s">
        <v>984</v>
      </c>
      <c r="D17" s="26" t="s">
        <v>997</v>
      </c>
      <c r="E17" s="521">
        <f>(106.21+99.97)/6</f>
        <v>34.363333333333337</v>
      </c>
      <c r="F17" s="521">
        <f>(1875*1.6625)/6</f>
        <v>519.53125</v>
      </c>
      <c r="G17" s="522" t="s">
        <v>806</v>
      </c>
      <c r="H17" s="26" t="s">
        <v>566</v>
      </c>
      <c r="I17" s="26" t="s">
        <v>998</v>
      </c>
      <c r="J17" s="522"/>
      <c r="K17" s="26"/>
    </row>
    <row r="18" spans="1:11" ht="45" x14ac:dyDescent="0.2">
      <c r="A18" s="94">
        <v>10</v>
      </c>
      <c r="B18" s="26" t="s">
        <v>999</v>
      </c>
      <c r="C18" s="26" t="s">
        <v>984</v>
      </c>
      <c r="D18" s="26" t="s">
        <v>997</v>
      </c>
      <c r="E18" s="521">
        <f>260/6</f>
        <v>43.333333333333336</v>
      </c>
      <c r="F18" s="521">
        <f>(3750*1.6625)/6</f>
        <v>1039.0625</v>
      </c>
      <c r="G18" s="522" t="s">
        <v>1000</v>
      </c>
      <c r="H18" s="26" t="s">
        <v>695</v>
      </c>
      <c r="I18" s="26" t="s">
        <v>1001</v>
      </c>
      <c r="J18" s="522"/>
      <c r="K18" s="26"/>
    </row>
    <row r="19" spans="1:11" ht="30" x14ac:dyDescent="0.2">
      <c r="A19" s="94">
        <v>11</v>
      </c>
      <c r="B19" s="26" t="s">
        <v>1002</v>
      </c>
      <c r="C19" s="26" t="s">
        <v>984</v>
      </c>
      <c r="D19" s="26" t="s">
        <v>1003</v>
      </c>
      <c r="E19" s="521">
        <f>114.39/6</f>
        <v>19.065000000000001</v>
      </c>
      <c r="F19" s="521">
        <f>(1250*1.6625)/6</f>
        <v>346.35416666666669</v>
      </c>
      <c r="G19" s="522" t="s">
        <v>778</v>
      </c>
      <c r="H19" s="26" t="s">
        <v>548</v>
      </c>
      <c r="I19" s="26" t="s">
        <v>1004</v>
      </c>
      <c r="J19" s="522"/>
      <c r="K19" s="26"/>
    </row>
    <row r="20" spans="1:11" ht="45" x14ac:dyDescent="0.2">
      <c r="A20" s="94">
        <v>12</v>
      </c>
      <c r="B20" s="26" t="s">
        <v>1005</v>
      </c>
      <c r="C20" s="26" t="s">
        <v>984</v>
      </c>
      <c r="D20" s="26" t="s">
        <v>997</v>
      </c>
      <c r="E20" s="521">
        <f>250/6</f>
        <v>41.666666666666664</v>
      </c>
      <c r="F20" s="521">
        <f>(3000*1.6625)/6</f>
        <v>831.25</v>
      </c>
      <c r="G20" s="522"/>
      <c r="H20" s="26"/>
      <c r="I20" s="26"/>
      <c r="J20" s="523" t="s">
        <v>795</v>
      </c>
      <c r="K20" s="524" t="s">
        <v>1006</v>
      </c>
    </row>
    <row r="21" spans="1:11" ht="30" x14ac:dyDescent="0.2">
      <c r="A21" s="94">
        <v>13</v>
      </c>
      <c r="B21" s="26" t="s">
        <v>1007</v>
      </c>
      <c r="C21" s="26" t="s">
        <v>984</v>
      </c>
      <c r="D21" s="26" t="s">
        <v>988</v>
      </c>
      <c r="E21" s="521">
        <f>69.32/6</f>
        <v>11.553333333333333</v>
      </c>
      <c r="F21" s="521">
        <f>875/6</f>
        <v>145.83333333333334</v>
      </c>
      <c r="G21" s="345" t="s">
        <v>1008</v>
      </c>
      <c r="H21" s="343" t="s">
        <v>1009</v>
      </c>
      <c r="I21" s="343" t="s">
        <v>1010</v>
      </c>
      <c r="J21" s="522"/>
      <c r="K21" s="26"/>
    </row>
    <row r="22" spans="1:11" ht="30" x14ac:dyDescent="0.2">
      <c r="A22" s="94">
        <v>14</v>
      </c>
      <c r="B22" s="26" t="s">
        <v>1011</v>
      </c>
      <c r="C22" s="26" t="s">
        <v>984</v>
      </c>
      <c r="D22" s="26" t="s">
        <v>988</v>
      </c>
      <c r="E22" s="521">
        <f>(67.45+84.15+74)/6</f>
        <v>37.6</v>
      </c>
      <c r="F22" s="521">
        <f>(2130*1.6625)/6</f>
        <v>590.1875</v>
      </c>
      <c r="G22" s="345" t="s">
        <v>1012</v>
      </c>
      <c r="H22" s="343" t="s">
        <v>1013</v>
      </c>
      <c r="I22" s="343" t="s">
        <v>1014</v>
      </c>
      <c r="J22" s="522"/>
      <c r="K22" s="26"/>
    </row>
    <row r="23" spans="1:11" ht="30" x14ac:dyDescent="0.2">
      <c r="A23" s="94">
        <v>15</v>
      </c>
      <c r="B23" s="26" t="s">
        <v>1015</v>
      </c>
      <c r="C23" s="26" t="s">
        <v>984</v>
      </c>
      <c r="D23" s="26" t="s">
        <v>1016</v>
      </c>
      <c r="E23" s="521">
        <f>122.14/6</f>
        <v>20.356666666666666</v>
      </c>
      <c r="F23" s="521">
        <f>(2920*1.6625)/6</f>
        <v>809.08333333333337</v>
      </c>
      <c r="G23" s="345" t="s">
        <v>914</v>
      </c>
      <c r="H23" s="343" t="s">
        <v>536</v>
      </c>
      <c r="I23" s="343" t="s">
        <v>1017</v>
      </c>
      <c r="J23" s="522"/>
      <c r="K23" s="26"/>
    </row>
    <row r="24" spans="1:11" ht="30" x14ac:dyDescent="0.2">
      <c r="A24" s="94">
        <v>16</v>
      </c>
      <c r="B24" s="26" t="s">
        <v>1018</v>
      </c>
      <c r="C24" s="26" t="s">
        <v>984</v>
      </c>
      <c r="D24" s="26" t="s">
        <v>988</v>
      </c>
      <c r="E24" s="521">
        <f>222/6</f>
        <v>37</v>
      </c>
      <c r="F24" s="521">
        <f>437.5/6</f>
        <v>72.916666666666671</v>
      </c>
      <c r="G24" s="522" t="s">
        <v>850</v>
      </c>
      <c r="H24" s="26" t="s">
        <v>1019</v>
      </c>
      <c r="I24" s="26" t="s">
        <v>1020</v>
      </c>
      <c r="J24" s="522"/>
      <c r="K24" s="26"/>
    </row>
    <row r="25" spans="1:11" ht="30" x14ac:dyDescent="0.2">
      <c r="A25" s="94">
        <v>17</v>
      </c>
      <c r="B25" s="26" t="s">
        <v>1021</v>
      </c>
      <c r="C25" s="26" t="s">
        <v>984</v>
      </c>
      <c r="D25" s="26" t="s">
        <v>1022</v>
      </c>
      <c r="E25" s="521">
        <f>175/6</f>
        <v>29.166666666666668</v>
      </c>
      <c r="F25" s="521">
        <f>1300/6</f>
        <v>216.66666666666666</v>
      </c>
      <c r="G25" s="522"/>
      <c r="H25" s="26"/>
      <c r="I25" s="26"/>
      <c r="J25" s="522" t="s">
        <v>1023</v>
      </c>
      <c r="K25" s="26" t="s">
        <v>1024</v>
      </c>
    </row>
    <row r="26" spans="1:11" ht="30" x14ac:dyDescent="0.2">
      <c r="A26" s="94">
        <v>18</v>
      </c>
      <c r="B26" s="26" t="s">
        <v>1025</v>
      </c>
      <c r="C26" s="26" t="s">
        <v>984</v>
      </c>
      <c r="D26" s="26" t="s">
        <v>1022</v>
      </c>
      <c r="E26" s="521">
        <f>250/6</f>
        <v>41.666666666666664</v>
      </c>
      <c r="F26" s="521">
        <f>1000/6</f>
        <v>166.66666666666666</v>
      </c>
      <c r="G26" s="522" t="s">
        <v>844</v>
      </c>
      <c r="H26" s="26" t="s">
        <v>1026</v>
      </c>
      <c r="I26" s="26" t="s">
        <v>1027</v>
      </c>
      <c r="J26" s="522"/>
      <c r="K26" s="26"/>
    </row>
    <row r="27" spans="1:11" ht="30" x14ac:dyDescent="0.2">
      <c r="A27" s="94">
        <v>19</v>
      </c>
      <c r="B27" s="26" t="s">
        <v>1028</v>
      </c>
      <c r="C27" s="26" t="s">
        <v>984</v>
      </c>
      <c r="D27" s="26" t="s">
        <v>1022</v>
      </c>
      <c r="E27" s="521">
        <f>135/6</f>
        <v>22.5</v>
      </c>
      <c r="F27" s="521">
        <f>1250/6</f>
        <v>208.33333333333334</v>
      </c>
      <c r="G27" s="522" t="s">
        <v>907</v>
      </c>
      <c r="H27" s="26" t="s">
        <v>1029</v>
      </c>
      <c r="I27" s="345" t="s">
        <v>799</v>
      </c>
      <c r="J27" s="522"/>
      <c r="K27" s="26"/>
    </row>
    <row r="28" spans="1:11" ht="30" x14ac:dyDescent="0.2">
      <c r="A28" s="94">
        <v>20</v>
      </c>
      <c r="B28" s="26" t="s">
        <v>1030</v>
      </c>
      <c r="C28" s="26" t="s">
        <v>984</v>
      </c>
      <c r="D28" s="26" t="s">
        <v>988</v>
      </c>
      <c r="E28" s="521">
        <f>195.8/6</f>
        <v>32.633333333333333</v>
      </c>
      <c r="F28" s="521">
        <f>(1000*1.6625)/6</f>
        <v>277.08333333333331</v>
      </c>
      <c r="G28" s="522" t="s">
        <v>842</v>
      </c>
      <c r="H28" s="26" t="s">
        <v>1031</v>
      </c>
      <c r="I28" s="26" t="s">
        <v>1032</v>
      </c>
      <c r="J28" s="522"/>
      <c r="K28" s="26"/>
    </row>
    <row r="29" spans="1:11" ht="30" x14ac:dyDescent="0.2">
      <c r="A29" s="94">
        <v>21</v>
      </c>
      <c r="B29" s="26" t="s">
        <v>1033</v>
      </c>
      <c r="C29" s="26" t="s">
        <v>984</v>
      </c>
      <c r="D29" s="26" t="s">
        <v>1022</v>
      </c>
      <c r="E29" s="521">
        <f>227.1/6</f>
        <v>37.85</v>
      </c>
      <c r="F29" s="521">
        <f>625/6</f>
        <v>104.16666666666667</v>
      </c>
      <c r="G29" s="522" t="s">
        <v>841</v>
      </c>
      <c r="H29" s="26" t="s">
        <v>1034</v>
      </c>
      <c r="I29" s="26" t="s">
        <v>1035</v>
      </c>
      <c r="J29" s="522"/>
      <c r="K29" s="26"/>
    </row>
    <row r="30" spans="1:11" ht="30" x14ac:dyDescent="0.2">
      <c r="A30" s="94">
        <v>22</v>
      </c>
      <c r="B30" s="26" t="s">
        <v>1036</v>
      </c>
      <c r="C30" s="26" t="s">
        <v>984</v>
      </c>
      <c r="D30" s="26" t="s">
        <v>988</v>
      </c>
      <c r="E30" s="521">
        <f>112/6</f>
        <v>18.666666666666668</v>
      </c>
      <c r="F30" s="521">
        <f>1200/6</f>
        <v>200</v>
      </c>
      <c r="G30" s="522"/>
      <c r="H30" s="26"/>
      <c r="I30" s="26"/>
      <c r="J30" s="522" t="s">
        <v>1037</v>
      </c>
      <c r="K30" s="26" t="s">
        <v>1038</v>
      </c>
    </row>
    <row r="31" spans="1:11" ht="30" x14ac:dyDescent="0.2">
      <c r="A31" s="94">
        <v>23</v>
      </c>
      <c r="B31" s="26" t="s">
        <v>1039</v>
      </c>
      <c r="C31" s="26" t="s">
        <v>984</v>
      </c>
      <c r="D31" s="26" t="s">
        <v>988</v>
      </c>
      <c r="E31" s="521">
        <f>115/6</f>
        <v>19.166666666666668</v>
      </c>
      <c r="F31" s="521">
        <f>845/6</f>
        <v>140.83333333333334</v>
      </c>
      <c r="G31" s="522" t="s">
        <v>846</v>
      </c>
      <c r="H31" s="26" t="s">
        <v>1040</v>
      </c>
      <c r="I31" s="26" t="s">
        <v>1041</v>
      </c>
      <c r="J31" s="522"/>
      <c r="K31" s="26"/>
    </row>
    <row r="32" spans="1:11" ht="30" x14ac:dyDescent="0.2">
      <c r="A32" s="94">
        <v>24</v>
      </c>
      <c r="B32" s="26" t="s">
        <v>1042</v>
      </c>
      <c r="C32" s="26" t="s">
        <v>984</v>
      </c>
      <c r="D32" s="26" t="s">
        <v>1022</v>
      </c>
      <c r="E32" s="521"/>
      <c r="F32" s="521">
        <f>1250/6</f>
        <v>208.33333333333334</v>
      </c>
      <c r="G32" s="522" t="s">
        <v>848</v>
      </c>
      <c r="H32" s="26" t="s">
        <v>695</v>
      </c>
      <c r="I32" s="26" t="s">
        <v>1043</v>
      </c>
      <c r="J32" s="522"/>
      <c r="K32" s="26"/>
    </row>
    <row r="33" spans="1:11" ht="30" x14ac:dyDescent="0.2">
      <c r="A33" s="94">
        <v>25</v>
      </c>
      <c r="B33" s="26" t="s">
        <v>1044</v>
      </c>
      <c r="C33" s="26" t="s">
        <v>984</v>
      </c>
      <c r="D33" s="26" t="s">
        <v>997</v>
      </c>
      <c r="E33" s="521">
        <f>50.75/6</f>
        <v>8.4583333333333339</v>
      </c>
      <c r="F33" s="521">
        <f>(1500*1.6625)/6</f>
        <v>415.625</v>
      </c>
      <c r="G33" s="522" t="s">
        <v>1045</v>
      </c>
      <c r="H33" s="26" t="s">
        <v>1046</v>
      </c>
      <c r="I33" s="26" t="s">
        <v>1047</v>
      </c>
      <c r="J33" s="522"/>
      <c r="K33" s="26"/>
    </row>
    <row r="34" spans="1:11" ht="30" x14ac:dyDescent="0.2">
      <c r="A34" s="94">
        <v>26</v>
      </c>
      <c r="B34" s="26" t="s">
        <v>1048</v>
      </c>
      <c r="C34" s="26" t="s">
        <v>984</v>
      </c>
      <c r="D34" s="26" t="s">
        <v>994</v>
      </c>
      <c r="E34" s="521">
        <f>160/6</f>
        <v>26.666666666666668</v>
      </c>
      <c r="F34" s="521">
        <f>2000/6</f>
        <v>333.33333333333331</v>
      </c>
      <c r="G34" s="522"/>
      <c r="H34" s="26"/>
      <c r="I34" s="26"/>
      <c r="J34" s="522" t="s">
        <v>1049</v>
      </c>
      <c r="K34" s="26" t="s">
        <v>1050</v>
      </c>
    </row>
    <row r="35" spans="1:11" ht="30" x14ac:dyDescent="0.2">
      <c r="A35" s="94">
        <v>27</v>
      </c>
      <c r="B35" s="26" t="s">
        <v>1051</v>
      </c>
      <c r="C35" s="26" t="s">
        <v>984</v>
      </c>
      <c r="D35" s="26" t="s">
        <v>988</v>
      </c>
      <c r="E35" s="521">
        <f>169.7/6</f>
        <v>28.283333333333331</v>
      </c>
      <c r="F35" s="521">
        <f>625/6</f>
        <v>104.16666666666667</v>
      </c>
      <c r="G35" s="522" t="s">
        <v>1052</v>
      </c>
      <c r="H35" s="26" t="s">
        <v>1053</v>
      </c>
      <c r="I35" s="26" t="s">
        <v>1054</v>
      </c>
      <c r="J35" s="522"/>
      <c r="K35" s="26"/>
    </row>
    <row r="36" spans="1:11" ht="30" x14ac:dyDescent="0.2">
      <c r="A36" s="527">
        <v>28</v>
      </c>
      <c r="B36" s="26" t="s">
        <v>1055</v>
      </c>
      <c r="C36" s="26" t="s">
        <v>984</v>
      </c>
      <c r="D36" s="26" t="s">
        <v>1022</v>
      </c>
      <c r="E36" s="521">
        <f>200/6</f>
        <v>33.333333333333336</v>
      </c>
      <c r="F36" s="521">
        <f>625/6</f>
        <v>104.16666666666667</v>
      </c>
      <c r="G36" s="522" t="s">
        <v>1056</v>
      </c>
      <c r="H36" s="26" t="s">
        <v>536</v>
      </c>
      <c r="I36" s="26" t="s">
        <v>1057</v>
      </c>
      <c r="J36" s="522"/>
      <c r="K36" s="26"/>
    </row>
    <row r="37" spans="1:11" ht="30" x14ac:dyDescent="0.2">
      <c r="A37" s="441">
        <v>29</v>
      </c>
      <c r="B37" s="26" t="s">
        <v>1058</v>
      </c>
      <c r="C37" s="26" t="s">
        <v>984</v>
      </c>
      <c r="D37" s="26" t="s">
        <v>988</v>
      </c>
      <c r="E37" s="521"/>
      <c r="F37" s="521">
        <f>625/6</f>
        <v>104.16666666666667</v>
      </c>
      <c r="G37" s="345" t="s">
        <v>868</v>
      </c>
      <c r="H37" s="343" t="s">
        <v>1031</v>
      </c>
      <c r="I37" s="343" t="s">
        <v>1059</v>
      </c>
      <c r="J37" s="522"/>
      <c r="K37" s="26"/>
    </row>
    <row r="38" spans="1:11" ht="30" x14ac:dyDescent="0.2">
      <c r="A38" s="441">
        <v>30</v>
      </c>
      <c r="B38" s="26" t="s">
        <v>1060</v>
      </c>
      <c r="C38" s="26" t="s">
        <v>984</v>
      </c>
      <c r="D38" s="26" t="s">
        <v>1022</v>
      </c>
      <c r="E38" s="521">
        <f>660/6</f>
        <v>110</v>
      </c>
      <c r="F38" s="521">
        <f>1625/6</f>
        <v>270.83333333333331</v>
      </c>
      <c r="G38" s="522" t="s">
        <v>1061</v>
      </c>
      <c r="H38" s="26" t="s">
        <v>1062</v>
      </c>
      <c r="I38" s="26" t="s">
        <v>1063</v>
      </c>
      <c r="J38" s="522"/>
      <c r="K38" s="26"/>
    </row>
    <row r="39" spans="1:11" ht="30" x14ac:dyDescent="0.2">
      <c r="A39" s="441">
        <v>31</v>
      </c>
      <c r="B39" s="26" t="s">
        <v>1064</v>
      </c>
      <c r="C39" s="26" t="s">
        <v>984</v>
      </c>
      <c r="D39" s="26" t="s">
        <v>1022</v>
      </c>
      <c r="E39" s="521">
        <f>211/6</f>
        <v>35.166666666666664</v>
      </c>
      <c r="F39" s="521">
        <f>(1000*1.6625)/6</f>
        <v>277.08333333333331</v>
      </c>
      <c r="G39" s="522" t="s">
        <v>874</v>
      </c>
      <c r="H39" s="26" t="s">
        <v>1065</v>
      </c>
      <c r="I39" s="26" t="s">
        <v>1066</v>
      </c>
      <c r="J39" s="522"/>
      <c r="K39" s="26"/>
    </row>
    <row r="40" spans="1:11" ht="30" x14ac:dyDescent="0.2">
      <c r="A40" s="441">
        <v>32</v>
      </c>
      <c r="B40" s="26" t="s">
        <v>1067</v>
      </c>
      <c r="C40" s="26" t="s">
        <v>984</v>
      </c>
      <c r="D40" s="26" t="s">
        <v>988</v>
      </c>
      <c r="E40" s="521">
        <f>90/6</f>
        <v>15</v>
      </c>
      <c r="F40" s="521">
        <f>800/6</f>
        <v>133.33333333333334</v>
      </c>
      <c r="G40" s="522" t="s">
        <v>854</v>
      </c>
      <c r="H40" s="26" t="s">
        <v>1068</v>
      </c>
      <c r="I40" s="26" t="s">
        <v>524</v>
      </c>
      <c r="J40" s="522"/>
      <c r="K40" s="26"/>
    </row>
    <row r="41" spans="1:11" ht="25.5" customHeight="1" x14ac:dyDescent="0.2">
      <c r="A41" s="441">
        <v>33</v>
      </c>
      <c r="B41" s="26" t="s">
        <v>1069</v>
      </c>
      <c r="C41" s="26" t="s">
        <v>984</v>
      </c>
      <c r="D41" s="26" t="s">
        <v>1022</v>
      </c>
      <c r="E41" s="521">
        <f>81.95/6</f>
        <v>13.658333333333333</v>
      </c>
      <c r="F41" s="521">
        <f>750/6</f>
        <v>125</v>
      </c>
      <c r="G41" s="522" t="s">
        <v>1070</v>
      </c>
      <c r="H41" s="26" t="s">
        <v>1071</v>
      </c>
      <c r="I41" s="26" t="s">
        <v>1072</v>
      </c>
      <c r="J41" s="522"/>
      <c r="K41" s="26"/>
    </row>
    <row r="42" spans="1:11" ht="30" x14ac:dyDescent="0.2">
      <c r="A42" s="441">
        <v>34</v>
      </c>
      <c r="B42" s="26" t="s">
        <v>1073</v>
      </c>
      <c r="C42" s="26" t="s">
        <v>984</v>
      </c>
      <c r="D42" s="26" t="s">
        <v>988</v>
      </c>
      <c r="E42" s="521">
        <f>196/6</f>
        <v>32.666666666666664</v>
      </c>
      <c r="F42" s="521">
        <f>1200/6</f>
        <v>200</v>
      </c>
      <c r="G42" s="522"/>
      <c r="H42" s="26"/>
      <c r="I42" s="26"/>
      <c r="J42" s="522" t="s">
        <v>1074</v>
      </c>
      <c r="K42" s="26" t="s">
        <v>1075</v>
      </c>
    </row>
    <row r="43" spans="1:11" ht="30" x14ac:dyDescent="0.2">
      <c r="A43" s="441">
        <v>35</v>
      </c>
      <c r="B43" s="26" t="s">
        <v>1076</v>
      </c>
      <c r="C43" s="26" t="s">
        <v>984</v>
      </c>
      <c r="D43" s="26" t="s">
        <v>1022</v>
      </c>
      <c r="E43" s="521">
        <f>143/6</f>
        <v>23.833333333333332</v>
      </c>
      <c r="F43" s="521">
        <f>(752*1.6625)/6</f>
        <v>208.36666666666667</v>
      </c>
      <c r="G43" s="522" t="s">
        <v>836</v>
      </c>
      <c r="H43" s="26" t="s">
        <v>548</v>
      </c>
      <c r="I43" s="26" t="s">
        <v>1077</v>
      </c>
      <c r="J43" s="522"/>
      <c r="K43" s="26"/>
    </row>
    <row r="44" spans="1:11" ht="30" x14ac:dyDescent="0.2">
      <c r="A44" s="441">
        <v>36</v>
      </c>
      <c r="B44" s="26" t="s">
        <v>1078</v>
      </c>
      <c r="C44" s="26" t="s">
        <v>984</v>
      </c>
      <c r="D44" s="26" t="s">
        <v>1022</v>
      </c>
      <c r="E44" s="521">
        <f>223/6</f>
        <v>37.166666666666664</v>
      </c>
      <c r="F44" s="521">
        <f>(1500*1.6625)/6</f>
        <v>415.625</v>
      </c>
      <c r="G44" s="522"/>
      <c r="H44" s="26"/>
      <c r="I44" s="26"/>
      <c r="J44" s="523" t="s">
        <v>1079</v>
      </c>
      <c r="K44" s="524" t="s">
        <v>1080</v>
      </c>
    </row>
    <row r="45" spans="1:11" ht="30" x14ac:dyDescent="0.2">
      <c r="A45" s="441">
        <v>37</v>
      </c>
      <c r="B45" s="26" t="s">
        <v>1081</v>
      </c>
      <c r="C45" s="26" t="s">
        <v>984</v>
      </c>
      <c r="D45" s="26" t="s">
        <v>1082</v>
      </c>
      <c r="E45" s="521">
        <f>90/6</f>
        <v>15</v>
      </c>
      <c r="F45" s="521">
        <f>750/6</f>
        <v>125</v>
      </c>
      <c r="G45" s="522" t="s">
        <v>897</v>
      </c>
      <c r="H45" s="26" t="s">
        <v>1083</v>
      </c>
      <c r="I45" s="26" t="s">
        <v>1084</v>
      </c>
      <c r="J45" s="522"/>
      <c r="K45" s="26"/>
    </row>
    <row r="46" spans="1:11" ht="30" x14ac:dyDescent="0.2">
      <c r="A46" s="441">
        <v>38</v>
      </c>
      <c r="B46" s="26" t="s">
        <v>1085</v>
      </c>
      <c r="C46" s="26" t="s">
        <v>984</v>
      </c>
      <c r="D46" s="26" t="s">
        <v>1082</v>
      </c>
      <c r="E46" s="521"/>
      <c r="F46" s="521">
        <f>300/6</f>
        <v>50</v>
      </c>
      <c r="G46" s="345" t="s">
        <v>899</v>
      </c>
      <c r="H46" s="343" t="s">
        <v>1086</v>
      </c>
      <c r="I46" s="343" t="s">
        <v>1087</v>
      </c>
      <c r="J46" s="522"/>
      <c r="K46" s="26"/>
    </row>
    <row r="47" spans="1:11" ht="30" x14ac:dyDescent="0.2">
      <c r="A47" s="528">
        <v>39</v>
      </c>
      <c r="B47" s="26" t="s">
        <v>1088</v>
      </c>
      <c r="C47" s="26" t="s">
        <v>984</v>
      </c>
      <c r="D47" s="26" t="s">
        <v>988</v>
      </c>
      <c r="E47" s="521"/>
      <c r="F47" s="521">
        <f>400/6</f>
        <v>66.666666666666671</v>
      </c>
      <c r="G47" s="345" t="s">
        <v>872</v>
      </c>
      <c r="H47" s="343" t="s">
        <v>1089</v>
      </c>
      <c r="I47" s="343" t="s">
        <v>1090</v>
      </c>
      <c r="J47" s="522"/>
      <c r="K47" s="26"/>
    </row>
    <row r="48" spans="1:11" ht="30" x14ac:dyDescent="0.2">
      <c r="A48" s="441">
        <v>40</v>
      </c>
      <c r="B48" s="26" t="s">
        <v>1091</v>
      </c>
      <c r="C48" s="26" t="s">
        <v>984</v>
      </c>
      <c r="D48" s="26" t="s">
        <v>994</v>
      </c>
      <c r="E48" s="521">
        <f>150/6</f>
        <v>25</v>
      </c>
      <c r="F48" s="521">
        <f>2450/6</f>
        <v>408.33333333333331</v>
      </c>
      <c r="G48" s="522"/>
      <c r="H48" s="26"/>
      <c r="I48" s="26"/>
      <c r="J48" s="523" t="s">
        <v>829</v>
      </c>
      <c r="K48" s="524" t="s">
        <v>1092</v>
      </c>
    </row>
    <row r="49" spans="1:11" ht="24.75" customHeight="1" x14ac:dyDescent="0.2">
      <c r="A49" s="441">
        <v>41</v>
      </c>
      <c r="B49" s="26" t="s">
        <v>1093</v>
      </c>
      <c r="C49" s="26" t="s">
        <v>984</v>
      </c>
      <c r="D49" s="26" t="s">
        <v>988</v>
      </c>
      <c r="E49" s="521">
        <f>137/6</f>
        <v>22.833333333333332</v>
      </c>
      <c r="F49" s="521">
        <f>500/6</f>
        <v>83.333333333333329</v>
      </c>
      <c r="G49" s="522" t="s">
        <v>803</v>
      </c>
      <c r="H49" s="26" t="s">
        <v>1094</v>
      </c>
      <c r="I49" s="26" t="s">
        <v>1095</v>
      </c>
      <c r="J49" s="522"/>
      <c r="K49" s="26"/>
    </row>
    <row r="50" spans="1:11" ht="30" x14ac:dyDescent="0.2">
      <c r="A50" s="441">
        <v>42</v>
      </c>
      <c r="B50" s="26" t="s">
        <v>1096</v>
      </c>
      <c r="C50" s="26" t="s">
        <v>984</v>
      </c>
      <c r="D50" s="26" t="s">
        <v>997</v>
      </c>
      <c r="E50" s="521">
        <f>75.48/6</f>
        <v>12.58</v>
      </c>
      <c r="F50" s="521">
        <f>625/6</f>
        <v>104.16666666666667</v>
      </c>
      <c r="G50" s="522" t="s">
        <v>876</v>
      </c>
      <c r="H50" s="26" t="s">
        <v>1097</v>
      </c>
      <c r="I50" s="26" t="s">
        <v>1098</v>
      </c>
      <c r="J50" s="522"/>
      <c r="K50" s="26"/>
    </row>
    <row r="51" spans="1:11" ht="30" x14ac:dyDescent="0.2">
      <c r="A51" s="441">
        <v>43</v>
      </c>
      <c r="B51" s="26" t="s">
        <v>1099</v>
      </c>
      <c r="C51" s="26" t="s">
        <v>984</v>
      </c>
      <c r="D51" s="26" t="s">
        <v>988</v>
      </c>
      <c r="E51" s="521">
        <f>162/6</f>
        <v>27</v>
      </c>
      <c r="F51" s="521">
        <f>625/6</f>
        <v>104.16666666666667</v>
      </c>
      <c r="G51" s="522" t="s">
        <v>1100</v>
      </c>
      <c r="H51" s="26" t="s">
        <v>1101</v>
      </c>
      <c r="I51" s="26" t="s">
        <v>1102</v>
      </c>
      <c r="J51" s="522"/>
      <c r="K51" s="26"/>
    </row>
    <row r="52" spans="1:11" ht="30" x14ac:dyDescent="0.2">
      <c r="A52" s="441">
        <v>44</v>
      </c>
      <c r="B52" s="26" t="s">
        <v>1103</v>
      </c>
      <c r="C52" s="26" t="s">
        <v>984</v>
      </c>
      <c r="D52" s="26" t="s">
        <v>1022</v>
      </c>
      <c r="E52" s="521">
        <f>(64.28+28.57)/6</f>
        <v>15.475</v>
      </c>
      <c r="F52" s="521">
        <f>1000/6</f>
        <v>166.66666666666666</v>
      </c>
      <c r="G52" s="522" t="s">
        <v>865</v>
      </c>
      <c r="H52" s="26" t="s">
        <v>1104</v>
      </c>
      <c r="I52" s="26" t="s">
        <v>1105</v>
      </c>
      <c r="J52" s="522"/>
      <c r="K52" s="26"/>
    </row>
    <row r="53" spans="1:11" ht="30" x14ac:dyDescent="0.2">
      <c r="A53" s="441">
        <v>45</v>
      </c>
      <c r="B53" s="26" t="s">
        <v>1106</v>
      </c>
      <c r="C53" s="26" t="s">
        <v>984</v>
      </c>
      <c r="D53" s="26" t="s">
        <v>988</v>
      </c>
      <c r="E53" s="521">
        <f>(54+55)/6</f>
        <v>18.166666666666668</v>
      </c>
      <c r="F53" s="521">
        <f>2500/6</f>
        <v>416.66666666666669</v>
      </c>
      <c r="G53" s="522" t="s">
        <v>1107</v>
      </c>
      <c r="H53" s="26" t="s">
        <v>1108</v>
      </c>
      <c r="I53" s="26" t="s">
        <v>1109</v>
      </c>
      <c r="J53" s="522"/>
      <c r="K53" s="26"/>
    </row>
    <row r="54" spans="1:11" ht="30" x14ac:dyDescent="0.2">
      <c r="A54" s="441">
        <v>46</v>
      </c>
      <c r="B54" s="26" t="s">
        <v>1110</v>
      </c>
      <c r="C54" s="26" t="s">
        <v>984</v>
      </c>
      <c r="D54" s="26" t="s">
        <v>1022</v>
      </c>
      <c r="E54" s="521">
        <f>60.8/6</f>
        <v>10.133333333333333</v>
      </c>
      <c r="F54" s="521">
        <f>500/6</f>
        <v>83.333333333333329</v>
      </c>
      <c r="G54" s="522" t="s">
        <v>831</v>
      </c>
      <c r="H54" s="26" t="s">
        <v>1053</v>
      </c>
      <c r="I54" s="26" t="s">
        <v>1111</v>
      </c>
      <c r="J54" s="522"/>
      <c r="K54" s="26"/>
    </row>
    <row r="55" spans="1:11" ht="30" x14ac:dyDescent="0.2">
      <c r="A55" s="441">
        <v>47</v>
      </c>
      <c r="B55" s="26" t="s">
        <v>1112</v>
      </c>
      <c r="C55" s="26" t="s">
        <v>984</v>
      </c>
      <c r="D55" s="26" t="s">
        <v>988</v>
      </c>
      <c r="E55" s="521">
        <f>80/6</f>
        <v>13.333333333333334</v>
      </c>
      <c r="F55" s="521">
        <f>1250/6</f>
        <v>208.33333333333334</v>
      </c>
      <c r="G55" s="522" t="s">
        <v>797</v>
      </c>
      <c r="H55" s="26" t="s">
        <v>1113</v>
      </c>
      <c r="I55" s="26" t="s">
        <v>1114</v>
      </c>
      <c r="J55" s="522"/>
      <c r="K55" s="26"/>
    </row>
    <row r="56" spans="1:11" ht="30" x14ac:dyDescent="0.2">
      <c r="A56" s="441">
        <v>48</v>
      </c>
      <c r="B56" s="26" t="s">
        <v>1115</v>
      </c>
      <c r="C56" s="26" t="s">
        <v>984</v>
      </c>
      <c r="D56" s="26" t="s">
        <v>988</v>
      </c>
      <c r="E56" s="521">
        <f>106.2/6</f>
        <v>17.7</v>
      </c>
      <c r="F56" s="521">
        <f>1250/6</f>
        <v>208.33333333333334</v>
      </c>
      <c r="G56" s="522" t="s">
        <v>839</v>
      </c>
      <c r="H56" s="26" t="s">
        <v>575</v>
      </c>
      <c r="I56" s="26" t="s">
        <v>1116</v>
      </c>
      <c r="J56" s="522"/>
      <c r="K56" s="26"/>
    </row>
    <row r="57" spans="1:11" ht="30" x14ac:dyDescent="0.2">
      <c r="A57" s="441">
        <v>49</v>
      </c>
      <c r="B57" s="26" t="s">
        <v>1117</v>
      </c>
      <c r="C57" s="26" t="s">
        <v>984</v>
      </c>
      <c r="D57" s="26" t="s">
        <v>988</v>
      </c>
      <c r="E57" s="521">
        <f>280/6</f>
        <v>46.666666666666664</v>
      </c>
      <c r="F57" s="521">
        <f>2250/6</f>
        <v>375</v>
      </c>
      <c r="G57" s="522" t="s">
        <v>1118</v>
      </c>
      <c r="H57" s="26" t="s">
        <v>1119</v>
      </c>
      <c r="I57" s="26" t="s">
        <v>1120</v>
      </c>
      <c r="J57" s="522"/>
      <c r="K57" s="26"/>
    </row>
    <row r="58" spans="1:11" ht="30" x14ac:dyDescent="0.2">
      <c r="A58" s="441">
        <v>50</v>
      </c>
      <c r="B58" s="26" t="s">
        <v>1121</v>
      </c>
      <c r="C58" s="26" t="s">
        <v>984</v>
      </c>
      <c r="D58" s="26" t="s">
        <v>988</v>
      </c>
      <c r="E58" s="521">
        <f>112/6</f>
        <v>18.666666666666668</v>
      </c>
      <c r="F58" s="521">
        <f>800/6</f>
        <v>133.33333333333334</v>
      </c>
      <c r="G58" s="522"/>
      <c r="H58" s="26"/>
      <c r="I58" s="26"/>
      <c r="J58" s="522" t="s">
        <v>1122</v>
      </c>
      <c r="K58" s="26" t="s">
        <v>1123</v>
      </c>
    </row>
    <row r="59" spans="1:11" ht="30" x14ac:dyDescent="0.2">
      <c r="A59" s="441">
        <v>51</v>
      </c>
      <c r="B59" s="26" t="s">
        <v>1124</v>
      </c>
      <c r="C59" s="26" t="s">
        <v>984</v>
      </c>
      <c r="D59" s="26" t="s">
        <v>988</v>
      </c>
      <c r="E59" s="521">
        <f>90/6</f>
        <v>15</v>
      </c>
      <c r="F59" s="521">
        <f>875/6</f>
        <v>145.83333333333334</v>
      </c>
      <c r="G59" s="345" t="s">
        <v>1125</v>
      </c>
      <c r="H59" s="343" t="s">
        <v>1126</v>
      </c>
      <c r="I59" s="343" t="s">
        <v>1127</v>
      </c>
      <c r="J59" s="522"/>
      <c r="K59" s="26"/>
    </row>
    <row r="60" spans="1:11" ht="30" x14ac:dyDescent="0.2">
      <c r="A60" s="441">
        <v>52</v>
      </c>
      <c r="B60" s="26" t="s">
        <v>1128</v>
      </c>
      <c r="C60" s="26" t="s">
        <v>984</v>
      </c>
      <c r="D60" s="26" t="s">
        <v>1022</v>
      </c>
      <c r="E60" s="521">
        <f>214/6</f>
        <v>35.666666666666664</v>
      </c>
      <c r="F60" s="521">
        <f>(1500*1.6625)/6</f>
        <v>415.625</v>
      </c>
      <c r="G60" s="522" t="s">
        <v>859</v>
      </c>
      <c r="H60" s="26" t="s">
        <v>1129</v>
      </c>
      <c r="I60" s="26" t="s">
        <v>1130</v>
      </c>
      <c r="J60" s="522"/>
      <c r="K60" s="26"/>
    </row>
    <row r="61" spans="1:11" ht="30" x14ac:dyDescent="0.2">
      <c r="A61" s="441">
        <v>53</v>
      </c>
      <c r="B61" s="26" t="s">
        <v>1131</v>
      </c>
      <c r="C61" s="26" t="s">
        <v>984</v>
      </c>
      <c r="D61" s="26" t="s">
        <v>1022</v>
      </c>
      <c r="E61" s="521">
        <f>99/6</f>
        <v>16.5</v>
      </c>
      <c r="F61" s="521">
        <f>(800*1.6625)/6</f>
        <v>221.66666666666666</v>
      </c>
      <c r="G61" s="522" t="s">
        <v>1132</v>
      </c>
      <c r="H61" s="26" t="s">
        <v>589</v>
      </c>
      <c r="I61" s="26" t="s">
        <v>1133</v>
      </c>
      <c r="J61" s="522"/>
      <c r="K61" s="26"/>
    </row>
    <row r="62" spans="1:11" ht="30" x14ac:dyDescent="0.2">
      <c r="A62" s="441">
        <v>54</v>
      </c>
      <c r="B62" s="26" t="s">
        <v>1134</v>
      </c>
      <c r="C62" s="26" t="s">
        <v>984</v>
      </c>
      <c r="D62" s="26" t="s">
        <v>1022</v>
      </c>
      <c r="E62" s="521">
        <f>94.1/6</f>
        <v>15.683333333333332</v>
      </c>
      <c r="F62" s="521">
        <f>940/6</f>
        <v>156.66666666666666</v>
      </c>
      <c r="G62" s="522" t="s">
        <v>1135</v>
      </c>
      <c r="H62" s="26" t="s">
        <v>1136</v>
      </c>
      <c r="I62" s="26" t="s">
        <v>1137</v>
      </c>
      <c r="J62" s="522"/>
      <c r="K62" s="26"/>
    </row>
    <row r="63" spans="1:11" ht="30" x14ac:dyDescent="0.2">
      <c r="A63" s="441">
        <v>55</v>
      </c>
      <c r="B63" s="26" t="s">
        <v>1138</v>
      </c>
      <c r="C63" s="26" t="s">
        <v>984</v>
      </c>
      <c r="D63" s="26" t="s">
        <v>997</v>
      </c>
      <c r="E63" s="521">
        <f>82.9/6</f>
        <v>13.816666666666668</v>
      </c>
      <c r="F63" s="521">
        <f>375/6</f>
        <v>62.5</v>
      </c>
      <c r="G63" s="522" t="s">
        <v>879</v>
      </c>
      <c r="H63" s="26" t="s">
        <v>550</v>
      </c>
      <c r="I63" s="26" t="s">
        <v>1139</v>
      </c>
      <c r="J63" s="522"/>
      <c r="K63" s="26"/>
    </row>
    <row r="64" spans="1:11" ht="30" x14ac:dyDescent="0.2">
      <c r="A64" s="441">
        <v>56</v>
      </c>
      <c r="B64" s="26" t="s">
        <v>1140</v>
      </c>
      <c r="C64" s="26" t="s">
        <v>984</v>
      </c>
      <c r="D64" s="26" t="s">
        <v>1022</v>
      </c>
      <c r="E64" s="521">
        <f>82/6</f>
        <v>13.666666666666666</v>
      </c>
      <c r="F64" s="521">
        <f>375/6</f>
        <v>62.5</v>
      </c>
      <c r="G64" s="345" t="s">
        <v>1141</v>
      </c>
      <c r="H64" s="343" t="s">
        <v>1142</v>
      </c>
      <c r="I64" s="343" t="s">
        <v>1143</v>
      </c>
      <c r="J64" s="522"/>
      <c r="K64" s="26"/>
    </row>
    <row r="65" spans="1:11" ht="30" x14ac:dyDescent="0.2">
      <c r="A65" s="441">
        <v>57</v>
      </c>
      <c r="B65" s="26" t="s">
        <v>1144</v>
      </c>
      <c r="C65" s="26" t="s">
        <v>984</v>
      </c>
      <c r="D65" s="26" t="s">
        <v>997</v>
      </c>
      <c r="E65" s="521">
        <f>278.69/6</f>
        <v>46.448333333333331</v>
      </c>
      <c r="F65" s="521">
        <f>3468/6</f>
        <v>578</v>
      </c>
      <c r="G65" s="522" t="s">
        <v>1145</v>
      </c>
      <c r="H65" s="26" t="s">
        <v>695</v>
      </c>
      <c r="I65" s="26" t="s">
        <v>1146</v>
      </c>
      <c r="J65" s="522"/>
      <c r="K65" s="26"/>
    </row>
    <row r="66" spans="1:11" ht="30" x14ac:dyDescent="0.2">
      <c r="A66" s="441">
        <v>58</v>
      </c>
      <c r="B66" s="26" t="s">
        <v>1147</v>
      </c>
      <c r="C66" s="26" t="s">
        <v>984</v>
      </c>
      <c r="D66" s="26" t="s">
        <v>1003</v>
      </c>
      <c r="E66" s="521">
        <f>240/6</f>
        <v>40</v>
      </c>
      <c r="F66" s="521">
        <f>1000/6</f>
        <v>166.66666666666666</v>
      </c>
      <c r="G66" s="522" t="s">
        <v>607</v>
      </c>
      <c r="H66" s="26" t="s">
        <v>605</v>
      </c>
      <c r="I66" s="26" t="s">
        <v>606</v>
      </c>
      <c r="J66" s="522"/>
      <c r="K66" s="26"/>
    </row>
    <row r="67" spans="1:11" ht="30" x14ac:dyDescent="0.2">
      <c r="A67" s="441">
        <v>59</v>
      </c>
      <c r="B67" s="26" t="s">
        <v>1148</v>
      </c>
      <c r="C67" s="26" t="s">
        <v>984</v>
      </c>
      <c r="D67" s="26" t="s">
        <v>1022</v>
      </c>
      <c r="E67" s="521">
        <f>135.7/6</f>
        <v>22.616666666666664</v>
      </c>
      <c r="F67" s="521">
        <f>700/6</f>
        <v>116.66666666666667</v>
      </c>
      <c r="G67" s="522" t="s">
        <v>1149</v>
      </c>
      <c r="H67" s="26" t="s">
        <v>523</v>
      </c>
      <c r="I67" s="26" t="s">
        <v>1150</v>
      </c>
      <c r="J67" s="522"/>
      <c r="K67" s="26"/>
    </row>
    <row r="68" spans="1:11" ht="30" x14ac:dyDescent="0.2">
      <c r="A68" s="441">
        <v>60</v>
      </c>
      <c r="B68" s="26" t="s">
        <v>1151</v>
      </c>
      <c r="C68" s="26" t="s">
        <v>984</v>
      </c>
      <c r="D68" s="26" t="s">
        <v>1022</v>
      </c>
      <c r="E68" s="521">
        <f>90/6</f>
        <v>15</v>
      </c>
      <c r="F68" s="521">
        <f>315/6</f>
        <v>52.5</v>
      </c>
      <c r="G68" s="522" t="s">
        <v>895</v>
      </c>
      <c r="H68" s="26" t="s">
        <v>1152</v>
      </c>
      <c r="I68" s="26" t="s">
        <v>1153</v>
      </c>
      <c r="J68" s="522"/>
      <c r="K68" s="26"/>
    </row>
    <row r="69" spans="1:11" ht="30" x14ac:dyDescent="0.2">
      <c r="A69" s="441">
        <v>61</v>
      </c>
      <c r="B69" s="26" t="s">
        <v>1154</v>
      </c>
      <c r="C69" s="26" t="s">
        <v>984</v>
      </c>
      <c r="D69" s="26" t="s">
        <v>1022</v>
      </c>
      <c r="E69" s="521">
        <f>219.53/6</f>
        <v>36.588333333333331</v>
      </c>
      <c r="F69" s="521">
        <f>2250/6</f>
        <v>375</v>
      </c>
      <c r="G69" s="522" t="s">
        <v>905</v>
      </c>
      <c r="H69" s="26" t="s">
        <v>1155</v>
      </c>
      <c r="I69" s="26" t="s">
        <v>1156</v>
      </c>
      <c r="J69" s="522"/>
      <c r="K69" s="26"/>
    </row>
    <row r="70" spans="1:11" ht="30" x14ac:dyDescent="0.2">
      <c r="A70" s="441">
        <v>62</v>
      </c>
      <c r="B70" s="26" t="s">
        <v>1157</v>
      </c>
      <c r="C70" s="26" t="s">
        <v>984</v>
      </c>
      <c r="D70" s="26" t="s">
        <v>988</v>
      </c>
      <c r="E70" s="521">
        <f>122/6</f>
        <v>20.333333333333332</v>
      </c>
      <c r="F70" s="521">
        <f>500/6</f>
        <v>83.333333333333329</v>
      </c>
      <c r="G70" s="522" t="s">
        <v>893</v>
      </c>
      <c r="H70" s="26" t="s">
        <v>1101</v>
      </c>
      <c r="I70" s="26" t="s">
        <v>1158</v>
      </c>
      <c r="J70" s="522"/>
      <c r="K70" s="26"/>
    </row>
    <row r="71" spans="1:11" ht="30" x14ac:dyDescent="0.2">
      <c r="A71" s="441">
        <v>63</v>
      </c>
      <c r="B71" s="26" t="s">
        <v>1159</v>
      </c>
      <c r="C71" s="26" t="s">
        <v>984</v>
      </c>
      <c r="D71" s="26" t="s">
        <v>1022</v>
      </c>
      <c r="E71" s="521">
        <f>300/6</f>
        <v>50</v>
      </c>
      <c r="F71" s="521">
        <f>(1500*1.6625)/6</f>
        <v>415.625</v>
      </c>
      <c r="G71" s="522" t="s">
        <v>801</v>
      </c>
      <c r="H71" s="26" t="s">
        <v>1089</v>
      </c>
      <c r="I71" s="26" t="s">
        <v>1160</v>
      </c>
      <c r="J71" s="522"/>
      <c r="K71" s="26"/>
    </row>
    <row r="72" spans="1:11" ht="30" x14ac:dyDescent="0.2">
      <c r="A72" s="441">
        <v>64</v>
      </c>
      <c r="B72" s="26" t="s">
        <v>1161</v>
      </c>
      <c r="C72" s="26" t="s">
        <v>984</v>
      </c>
      <c r="D72" s="26" t="s">
        <v>1162</v>
      </c>
      <c r="E72" s="521">
        <f>188.8/6</f>
        <v>31.466666666666669</v>
      </c>
      <c r="F72" s="521">
        <f>4700/6</f>
        <v>783.33333333333337</v>
      </c>
      <c r="G72" s="522" t="s">
        <v>781</v>
      </c>
      <c r="H72" s="26" t="s">
        <v>1163</v>
      </c>
      <c r="I72" s="26" t="s">
        <v>1164</v>
      </c>
      <c r="J72" s="522"/>
      <c r="K72" s="26"/>
    </row>
    <row r="73" spans="1:11" ht="30" x14ac:dyDescent="0.2">
      <c r="A73" s="441">
        <v>65</v>
      </c>
      <c r="B73" s="26" t="s">
        <v>1165</v>
      </c>
      <c r="C73" s="26" t="s">
        <v>984</v>
      </c>
      <c r="D73" s="26" t="s">
        <v>988</v>
      </c>
      <c r="E73" s="521">
        <f>100/6</f>
        <v>16.666666666666668</v>
      </c>
      <c r="F73" s="521">
        <f>625/6</f>
        <v>104.16666666666667</v>
      </c>
      <c r="G73" s="522" t="s">
        <v>1166</v>
      </c>
      <c r="H73" s="26" t="s">
        <v>571</v>
      </c>
      <c r="I73" s="26" t="s">
        <v>1167</v>
      </c>
      <c r="J73" s="522"/>
      <c r="K73" s="26"/>
    </row>
    <row r="74" spans="1:11" ht="45" x14ac:dyDescent="0.2">
      <c r="A74" s="441">
        <v>66</v>
      </c>
      <c r="B74" s="26" t="s">
        <v>1168</v>
      </c>
      <c r="C74" s="26" t="s">
        <v>984</v>
      </c>
      <c r="D74" s="26" t="s">
        <v>1022</v>
      </c>
      <c r="E74" s="521">
        <f>178/6</f>
        <v>29.666666666666668</v>
      </c>
      <c r="F74" s="521">
        <f>1250/6</f>
        <v>208.33333333333334</v>
      </c>
      <c r="G74" s="522" t="s">
        <v>1169</v>
      </c>
      <c r="H74" s="26" t="s">
        <v>1119</v>
      </c>
      <c r="I74" s="26" t="s">
        <v>1170</v>
      </c>
      <c r="J74" s="522"/>
      <c r="K74" s="26"/>
    </row>
    <row r="75" spans="1:11" ht="30" x14ac:dyDescent="0.2">
      <c r="A75" s="441">
        <v>67</v>
      </c>
      <c r="B75" s="26" t="s">
        <v>1171</v>
      </c>
      <c r="C75" s="26" t="s">
        <v>984</v>
      </c>
      <c r="D75" s="26" t="s">
        <v>988</v>
      </c>
      <c r="E75" s="521">
        <f>372/6</f>
        <v>62</v>
      </c>
      <c r="F75" s="521">
        <f>(5750*1.6625)/6</f>
        <v>1593.2291666666667</v>
      </c>
      <c r="G75" s="522" t="s">
        <v>1172</v>
      </c>
      <c r="H75" s="26" t="s">
        <v>695</v>
      </c>
      <c r="I75" s="26" t="s">
        <v>1173</v>
      </c>
      <c r="J75" s="522"/>
      <c r="K75" s="26"/>
    </row>
    <row r="76" spans="1:11" ht="30" x14ac:dyDescent="0.2">
      <c r="A76" s="441">
        <v>68</v>
      </c>
      <c r="B76" s="26" t="s">
        <v>1174</v>
      </c>
      <c r="C76" s="26" t="s">
        <v>984</v>
      </c>
      <c r="D76" s="26" t="s">
        <v>988</v>
      </c>
      <c r="E76" s="521">
        <f>150/6</f>
        <v>25</v>
      </c>
      <c r="F76" s="521">
        <f>625/6</f>
        <v>104.16666666666667</v>
      </c>
      <c r="G76" s="522"/>
      <c r="H76" s="26"/>
      <c r="I76" s="26"/>
      <c r="J76" s="522" t="s">
        <v>864</v>
      </c>
      <c r="K76" s="26" t="s">
        <v>1175</v>
      </c>
    </row>
    <row r="77" spans="1:11" ht="45" x14ac:dyDescent="0.2">
      <c r="A77" s="441">
        <v>69</v>
      </c>
      <c r="B77" s="26" t="s">
        <v>1176</v>
      </c>
      <c r="C77" s="26" t="s">
        <v>984</v>
      </c>
      <c r="D77" s="26" t="s">
        <v>1177</v>
      </c>
      <c r="E77" s="521">
        <f>192.5/6</f>
        <v>32.083333333333336</v>
      </c>
      <c r="F77" s="521">
        <f>(2000*1.6625)/6</f>
        <v>554.16666666666663</v>
      </c>
      <c r="G77" s="522" t="s">
        <v>1178</v>
      </c>
      <c r="H77" s="26" t="s">
        <v>1179</v>
      </c>
      <c r="I77" s="26" t="s">
        <v>1180</v>
      </c>
      <c r="J77" s="522"/>
      <c r="K77" s="26"/>
    </row>
    <row r="78" spans="1:11" ht="30" x14ac:dyDescent="0.2">
      <c r="A78" s="441">
        <v>70</v>
      </c>
      <c r="B78" s="26" t="s">
        <v>1181</v>
      </c>
      <c r="C78" s="26" t="s">
        <v>984</v>
      </c>
      <c r="D78" s="26" t="s">
        <v>1022</v>
      </c>
      <c r="E78" s="521">
        <f>60.7/6</f>
        <v>10.116666666666667</v>
      </c>
      <c r="F78" s="521">
        <f>800/6</f>
        <v>133.33333333333334</v>
      </c>
      <c r="G78" s="522" t="s">
        <v>856</v>
      </c>
      <c r="H78" s="26" t="s">
        <v>1182</v>
      </c>
      <c r="I78" s="26" t="s">
        <v>1183</v>
      </c>
      <c r="J78" s="522"/>
      <c r="K78" s="26"/>
    </row>
    <row r="79" spans="1:11" ht="30" x14ac:dyDescent="0.2">
      <c r="A79" s="441">
        <v>71</v>
      </c>
      <c r="B79" s="26" t="s">
        <v>1184</v>
      </c>
      <c r="C79" s="26" t="s">
        <v>984</v>
      </c>
      <c r="D79" s="26" t="s">
        <v>1022</v>
      </c>
      <c r="E79" s="521">
        <f>356/6</f>
        <v>59.333333333333336</v>
      </c>
      <c r="F79" s="521">
        <f>(2500*1.6625)/6</f>
        <v>692.70833333333337</v>
      </c>
      <c r="G79" s="345" t="s">
        <v>799</v>
      </c>
      <c r="H79" s="343" t="s">
        <v>1185</v>
      </c>
      <c r="I79" s="343" t="s">
        <v>1186</v>
      </c>
      <c r="J79" s="522"/>
      <c r="K79" s="26"/>
    </row>
    <row r="80" spans="1:11" ht="30" x14ac:dyDescent="0.2">
      <c r="A80" s="441">
        <v>72</v>
      </c>
      <c r="B80" s="26" t="s">
        <v>1187</v>
      </c>
      <c r="C80" s="26" t="s">
        <v>984</v>
      </c>
      <c r="D80" s="26" t="s">
        <v>988</v>
      </c>
      <c r="E80" s="521">
        <f>168/6</f>
        <v>28</v>
      </c>
      <c r="F80" s="521">
        <f>800/6</f>
        <v>133.33333333333334</v>
      </c>
      <c r="G80" s="522" t="s">
        <v>1188</v>
      </c>
      <c r="H80" s="26" t="s">
        <v>1189</v>
      </c>
      <c r="I80" s="26" t="s">
        <v>1190</v>
      </c>
      <c r="J80" s="522"/>
      <c r="K80" s="26"/>
    </row>
    <row r="81" spans="1:11" ht="30" x14ac:dyDescent="0.2">
      <c r="A81" s="441">
        <v>73</v>
      </c>
      <c r="B81" s="26" t="s">
        <v>1191</v>
      </c>
      <c r="C81" s="26" t="s">
        <v>984</v>
      </c>
      <c r="D81" s="26" t="s">
        <v>1003</v>
      </c>
      <c r="E81" s="521">
        <f>136/6</f>
        <v>22.666666666666668</v>
      </c>
      <c r="F81" s="521">
        <f>2500/6</f>
        <v>416.66666666666669</v>
      </c>
      <c r="G81" s="522" t="s">
        <v>792</v>
      </c>
      <c r="H81" s="26" t="s">
        <v>1192</v>
      </c>
      <c r="I81" s="26" t="s">
        <v>1193</v>
      </c>
      <c r="J81" s="522"/>
      <c r="K81" s="26"/>
    </row>
    <row r="82" spans="1:11" ht="30" x14ac:dyDescent="0.2">
      <c r="A82" s="529">
        <v>74</v>
      </c>
      <c r="B82" s="26" t="s">
        <v>1194</v>
      </c>
      <c r="C82" s="26" t="s">
        <v>984</v>
      </c>
      <c r="D82" s="26" t="s">
        <v>1195</v>
      </c>
      <c r="E82" s="521">
        <f>98.05/6</f>
        <v>16.341666666666665</v>
      </c>
      <c r="F82" s="521">
        <f>(1125*1.6625)/6</f>
        <v>311.71875</v>
      </c>
      <c r="G82" s="522" t="s">
        <v>1196</v>
      </c>
      <c r="H82" s="26" t="s">
        <v>1119</v>
      </c>
      <c r="I82" s="26" t="s">
        <v>1197</v>
      </c>
      <c r="J82" s="522"/>
      <c r="K82" s="26"/>
    </row>
    <row r="83" spans="1:11" ht="45" x14ac:dyDescent="0.2">
      <c r="A83" s="529">
        <v>75</v>
      </c>
      <c r="B83" s="26" t="s">
        <v>1198</v>
      </c>
      <c r="C83" s="26" t="s">
        <v>984</v>
      </c>
      <c r="D83" s="26" t="s">
        <v>1022</v>
      </c>
      <c r="E83" s="26">
        <v>48.31</v>
      </c>
      <c r="F83" s="26">
        <v>660</v>
      </c>
      <c r="G83" s="522" t="s">
        <v>1199</v>
      </c>
      <c r="H83" s="26" t="s">
        <v>1200</v>
      </c>
      <c r="I83" s="26" t="s">
        <v>1201</v>
      </c>
      <c r="J83" s="26"/>
      <c r="K83" s="26"/>
    </row>
    <row r="84" spans="1:11" ht="45" x14ac:dyDescent="0.2">
      <c r="A84" s="529">
        <v>76</v>
      </c>
      <c r="B84" s="26" t="s">
        <v>1202</v>
      </c>
      <c r="C84" s="26" t="s">
        <v>984</v>
      </c>
      <c r="D84" s="26" t="s">
        <v>1016</v>
      </c>
      <c r="E84" s="26">
        <v>80.599999999999994</v>
      </c>
      <c r="F84" s="26">
        <v>1320</v>
      </c>
      <c r="G84" s="26">
        <v>60001068733</v>
      </c>
      <c r="H84" s="26" t="s">
        <v>1019</v>
      </c>
      <c r="I84" s="26" t="s">
        <v>1203</v>
      </c>
      <c r="J84" s="26"/>
      <c r="K84" s="26"/>
    </row>
    <row r="85" spans="1:11" ht="30" x14ac:dyDescent="0.2">
      <c r="A85" s="529">
        <v>77</v>
      </c>
      <c r="B85" s="525" t="s">
        <v>1204</v>
      </c>
      <c r="C85" s="525" t="s">
        <v>984</v>
      </c>
      <c r="D85" s="525" t="s">
        <v>1205</v>
      </c>
      <c r="E85" s="525">
        <v>210</v>
      </c>
      <c r="F85" s="525">
        <v>373.4</v>
      </c>
      <c r="G85" s="525"/>
      <c r="H85" s="525"/>
      <c r="I85" s="525"/>
      <c r="J85" s="525">
        <v>209436537</v>
      </c>
      <c r="K85" s="525" t="s">
        <v>1206</v>
      </c>
    </row>
    <row r="86" spans="1:11" ht="27.75" customHeight="1" x14ac:dyDescent="0.2">
      <c r="A86" s="529">
        <v>78</v>
      </c>
      <c r="B86" s="503" t="s">
        <v>1207</v>
      </c>
      <c r="C86" s="26" t="s">
        <v>984</v>
      </c>
      <c r="D86" s="503" t="s">
        <v>1208</v>
      </c>
      <c r="E86" s="503">
        <v>150</v>
      </c>
      <c r="F86" s="503">
        <v>1750</v>
      </c>
      <c r="G86" s="526" t="s">
        <v>1209</v>
      </c>
      <c r="H86" s="420" t="s">
        <v>724</v>
      </c>
      <c r="I86" s="420" t="s">
        <v>1210</v>
      </c>
      <c r="J86" s="503"/>
      <c r="K86" s="503"/>
    </row>
    <row r="94" spans="1:11" x14ac:dyDescent="0.2">
      <c r="B94" s="25"/>
      <c r="C94" s="23"/>
      <c r="D94" s="23"/>
      <c r="E94" s="23"/>
      <c r="F94" s="23"/>
      <c r="G94" s="23"/>
      <c r="H94" s="23"/>
      <c r="I94" s="23"/>
      <c r="J94" s="23"/>
    </row>
    <row r="95" spans="1:11" ht="15" x14ac:dyDescent="0.3">
      <c r="B95" s="98" t="s">
        <v>107</v>
      </c>
      <c r="C95" s="2"/>
      <c r="D95" s="2"/>
      <c r="E95" s="5"/>
      <c r="F95" s="2"/>
      <c r="G95" s="2"/>
      <c r="H95" s="2"/>
      <c r="I95" s="2"/>
      <c r="J95" s="2"/>
    </row>
    <row r="96" spans="1:11" ht="15" x14ac:dyDescent="0.3">
      <c r="B96" s="2"/>
      <c r="C96" s="2"/>
      <c r="D96" s="2"/>
      <c r="I96" s="2"/>
    </row>
    <row r="97" spans="2:9" ht="15" x14ac:dyDescent="0.3">
      <c r="B97" s="2"/>
      <c r="C97" s="97"/>
      <c r="D97" s="97"/>
      <c r="E97" s="2"/>
      <c r="F97" s="2"/>
      <c r="G97" s="97"/>
      <c r="H97" s="100"/>
      <c r="I97" s="97"/>
    </row>
    <row r="98" spans="2:9" ht="15" x14ac:dyDescent="0.3">
      <c r="B98" s="2"/>
      <c r="C98" s="96" t="s">
        <v>271</v>
      </c>
      <c r="D98" s="2"/>
      <c r="E98" s="2"/>
      <c r="F98" s="2"/>
      <c r="G98" s="12" t="s">
        <v>276</v>
      </c>
      <c r="H98" s="99"/>
      <c r="I98" s="2"/>
    </row>
    <row r="99" spans="2:9" ht="15" x14ac:dyDescent="0.3">
      <c r="B99" s="2"/>
      <c r="C99" s="91" t="s">
        <v>140</v>
      </c>
      <c r="D99" s="2"/>
      <c r="E99" s="2"/>
      <c r="F99" s="2"/>
      <c r="G99" s="2" t="s">
        <v>272</v>
      </c>
      <c r="I99" s="2"/>
    </row>
    <row r="100" spans="2:9" ht="15" x14ac:dyDescent="0.3">
      <c r="B100" s="2"/>
      <c r="C100" s="25"/>
      <c r="I100" s="25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RowHeight="12.75" x14ac:dyDescent="0.2"/>
  <cols>
    <col min="1" max="1" width="11.7109375" style="234" customWidth="1"/>
    <col min="2" max="2" width="21.140625" style="234" customWidth="1"/>
    <col min="3" max="3" width="21.5703125" style="234" customWidth="1"/>
    <col min="4" max="4" width="19.140625" style="234" customWidth="1"/>
    <col min="5" max="5" width="15.140625" style="234" customWidth="1"/>
    <col min="6" max="6" width="20.85546875" style="234" customWidth="1"/>
    <col min="7" max="7" width="23.85546875" style="234" customWidth="1"/>
    <col min="8" max="8" width="19" style="234" customWidth="1"/>
    <col min="9" max="9" width="21.140625" style="234" customWidth="1"/>
    <col min="10" max="10" width="17" style="234" customWidth="1"/>
    <col min="11" max="11" width="21.5703125" style="234" customWidth="1"/>
    <col min="12" max="12" width="24.42578125" style="234" customWidth="1"/>
    <col min="13" max="16384" width="9.140625" style="234"/>
  </cols>
  <sheetData>
    <row r="1" spans="1:13" customFormat="1" ht="15" x14ac:dyDescent="0.2">
      <c r="A1" s="182" t="s">
        <v>468</v>
      </c>
      <c r="B1" s="182"/>
      <c r="C1" s="183"/>
      <c r="D1" s="183"/>
      <c r="E1" s="183"/>
      <c r="F1" s="183"/>
      <c r="G1" s="183"/>
      <c r="H1" s="183"/>
      <c r="I1" s="183"/>
      <c r="J1" s="183"/>
      <c r="K1" s="189"/>
      <c r="L1" s="108" t="s">
        <v>110</v>
      </c>
    </row>
    <row r="2" spans="1:13" customFormat="1" ht="15" x14ac:dyDescent="0.3">
      <c r="A2" s="150" t="s">
        <v>141</v>
      </c>
      <c r="B2" s="150"/>
      <c r="C2" s="183"/>
      <c r="D2" s="183"/>
      <c r="E2" s="183"/>
      <c r="F2" s="183"/>
      <c r="G2" s="183"/>
      <c r="H2" s="183"/>
      <c r="I2" s="183"/>
      <c r="J2" s="183"/>
      <c r="K2" s="189"/>
      <c r="L2" s="245" t="s">
        <v>521</v>
      </c>
    </row>
    <row r="3" spans="1:13" customFormat="1" ht="15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6"/>
      <c r="L3" s="186"/>
      <c r="M3" s="234"/>
    </row>
    <row r="4" spans="1:13" customFormat="1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7"/>
      <c r="F4" s="192"/>
      <c r="G4" s="183"/>
      <c r="H4" s="183"/>
      <c r="I4" s="183"/>
      <c r="J4" s="183"/>
      <c r="K4" s="183"/>
      <c r="L4" s="183"/>
    </row>
    <row r="5" spans="1:13" ht="15" x14ac:dyDescent="0.3">
      <c r="A5" s="272" t="s">
        <v>520</v>
      </c>
      <c r="B5" s="110"/>
      <c r="C5" s="110"/>
      <c r="D5" s="110"/>
      <c r="E5" s="110"/>
      <c r="F5" s="110"/>
      <c r="G5" s="250"/>
      <c r="H5" s="250"/>
      <c r="I5" s="274"/>
      <c r="J5" s="274"/>
      <c r="K5" s="274"/>
      <c r="L5" s="273"/>
    </row>
    <row r="6" spans="1:13" customFormat="1" ht="13.5" x14ac:dyDescent="0.2">
      <c r="A6" s="187"/>
      <c r="B6" s="187"/>
      <c r="C6" s="188"/>
      <c r="D6" s="188"/>
      <c r="E6" s="188"/>
      <c r="F6" s="183"/>
      <c r="G6" s="183"/>
      <c r="H6" s="183"/>
      <c r="I6" s="183"/>
      <c r="J6" s="183"/>
      <c r="K6" s="183"/>
      <c r="L6" s="183"/>
    </row>
    <row r="7" spans="1:13" customFormat="1" ht="60" x14ac:dyDescent="0.2">
      <c r="A7" s="195" t="s">
        <v>64</v>
      </c>
      <c r="B7" s="179" t="s">
        <v>251</v>
      </c>
      <c r="C7" s="181" t="s">
        <v>247</v>
      </c>
      <c r="D7" s="181" t="s">
        <v>248</v>
      </c>
      <c r="E7" s="181" t="s">
        <v>358</v>
      </c>
      <c r="F7" s="181" t="s">
        <v>250</v>
      </c>
      <c r="G7" s="181" t="s">
        <v>395</v>
      </c>
      <c r="H7" s="181" t="s">
        <v>397</v>
      </c>
      <c r="I7" s="181" t="s">
        <v>391</v>
      </c>
      <c r="J7" s="181" t="s">
        <v>392</v>
      </c>
      <c r="K7" s="181" t="s">
        <v>404</v>
      </c>
      <c r="L7" s="181" t="s">
        <v>393</v>
      </c>
    </row>
    <row r="8" spans="1:13" customFormat="1" ht="15" x14ac:dyDescent="0.2">
      <c r="A8" s="179">
        <v>1</v>
      </c>
      <c r="B8" s="179">
        <v>2</v>
      </c>
      <c r="C8" s="181">
        <v>3</v>
      </c>
      <c r="D8" s="179">
        <v>4</v>
      </c>
      <c r="E8" s="181">
        <v>5</v>
      </c>
      <c r="F8" s="179">
        <v>6</v>
      </c>
      <c r="G8" s="181">
        <v>7</v>
      </c>
      <c r="H8" s="179">
        <v>8</v>
      </c>
      <c r="I8" s="179">
        <v>9</v>
      </c>
      <c r="J8" s="179">
        <v>10</v>
      </c>
      <c r="K8" s="181">
        <v>11</v>
      </c>
      <c r="L8" s="181">
        <v>12</v>
      </c>
    </row>
    <row r="9" spans="1:13" customFormat="1" ht="15" x14ac:dyDescent="0.2">
      <c r="A9" s="94">
        <v>1</v>
      </c>
      <c r="B9" s="94"/>
      <c r="C9" s="26"/>
      <c r="D9" s="26"/>
      <c r="E9" s="26"/>
      <c r="F9" s="26"/>
      <c r="G9" s="26"/>
      <c r="H9" s="26"/>
      <c r="I9" s="270"/>
      <c r="J9" s="270"/>
      <c r="K9" s="270"/>
      <c r="L9" s="26"/>
    </row>
    <row r="10" spans="1:13" customFormat="1" ht="15" x14ac:dyDescent="0.2">
      <c r="A10" s="94">
        <v>2</v>
      </c>
      <c r="B10" s="94"/>
      <c r="C10" s="26"/>
      <c r="D10" s="26"/>
      <c r="E10" s="26"/>
      <c r="F10" s="26"/>
      <c r="G10" s="26"/>
      <c r="H10" s="26"/>
      <c r="I10" s="270"/>
      <c r="J10" s="270"/>
      <c r="K10" s="270"/>
      <c r="L10" s="26"/>
    </row>
    <row r="11" spans="1:13" customFormat="1" ht="15" x14ac:dyDescent="0.2">
      <c r="A11" s="94">
        <v>3</v>
      </c>
      <c r="B11" s="94"/>
      <c r="C11" s="26"/>
      <c r="D11" s="26"/>
      <c r="E11" s="26"/>
      <c r="F11" s="26"/>
      <c r="G11" s="26"/>
      <c r="H11" s="26"/>
      <c r="I11" s="270"/>
      <c r="J11" s="270"/>
      <c r="K11" s="270"/>
      <c r="L11" s="26"/>
    </row>
    <row r="12" spans="1:13" customFormat="1" ht="15" x14ac:dyDescent="0.2">
      <c r="A12" s="94">
        <v>4</v>
      </c>
      <c r="B12" s="94"/>
      <c r="C12" s="26"/>
      <c r="D12" s="26"/>
      <c r="E12" s="26"/>
      <c r="F12" s="26"/>
      <c r="G12" s="26"/>
      <c r="H12" s="26"/>
      <c r="I12" s="270"/>
      <c r="J12" s="270"/>
      <c r="K12" s="270"/>
      <c r="L12" s="26"/>
    </row>
    <row r="13" spans="1:13" customFormat="1" ht="15" x14ac:dyDescent="0.2">
      <c r="A13" s="94">
        <v>5</v>
      </c>
      <c r="B13" s="94"/>
      <c r="C13" s="26"/>
      <c r="D13" s="26"/>
      <c r="E13" s="26"/>
      <c r="F13" s="26"/>
      <c r="G13" s="26"/>
      <c r="H13" s="26"/>
      <c r="I13" s="270"/>
      <c r="J13" s="270"/>
      <c r="K13" s="270"/>
      <c r="L13" s="26"/>
    </row>
    <row r="14" spans="1:13" customFormat="1" ht="15" x14ac:dyDescent="0.2">
      <c r="A14" s="94">
        <v>6</v>
      </c>
      <c r="B14" s="94"/>
      <c r="C14" s="26"/>
      <c r="D14" s="26"/>
      <c r="E14" s="26"/>
      <c r="F14" s="26"/>
      <c r="G14" s="26"/>
      <c r="H14" s="26"/>
      <c r="I14" s="270"/>
      <c r="J14" s="270"/>
      <c r="K14" s="270"/>
      <c r="L14" s="26"/>
    </row>
    <row r="15" spans="1:13" customFormat="1" ht="15" x14ac:dyDescent="0.2">
      <c r="A15" s="94">
        <v>7</v>
      </c>
      <c r="B15" s="94"/>
      <c r="C15" s="26"/>
      <c r="D15" s="26"/>
      <c r="E15" s="26"/>
      <c r="F15" s="26"/>
      <c r="G15" s="26"/>
      <c r="H15" s="26"/>
      <c r="I15" s="270"/>
      <c r="J15" s="270"/>
      <c r="K15" s="270"/>
      <c r="L15" s="26"/>
    </row>
    <row r="16" spans="1:13" customFormat="1" ht="15" x14ac:dyDescent="0.2">
      <c r="A16" s="94">
        <v>8</v>
      </c>
      <c r="B16" s="94"/>
      <c r="C16" s="26"/>
      <c r="D16" s="26"/>
      <c r="E16" s="26"/>
      <c r="F16" s="26"/>
      <c r="G16" s="26"/>
      <c r="H16" s="26"/>
      <c r="I16" s="270"/>
      <c r="J16" s="270"/>
      <c r="K16" s="270"/>
      <c r="L16" s="26"/>
    </row>
    <row r="17" spans="1:12" customFormat="1" ht="15" x14ac:dyDescent="0.2">
      <c r="A17" s="94">
        <v>9</v>
      </c>
      <c r="B17" s="94"/>
      <c r="C17" s="26"/>
      <c r="D17" s="26"/>
      <c r="E17" s="26"/>
      <c r="F17" s="26"/>
      <c r="G17" s="26"/>
      <c r="H17" s="26"/>
      <c r="I17" s="270"/>
      <c r="J17" s="270"/>
      <c r="K17" s="270"/>
      <c r="L17" s="26"/>
    </row>
    <row r="18" spans="1:12" customFormat="1" ht="15" x14ac:dyDescent="0.2">
      <c r="A18" s="94">
        <v>10</v>
      </c>
      <c r="B18" s="94"/>
      <c r="C18" s="26"/>
      <c r="D18" s="26"/>
      <c r="E18" s="26"/>
      <c r="F18" s="26"/>
      <c r="G18" s="26"/>
      <c r="H18" s="26"/>
      <c r="I18" s="270"/>
      <c r="J18" s="270"/>
      <c r="K18" s="270"/>
      <c r="L18" s="26"/>
    </row>
    <row r="19" spans="1:12" customFormat="1" ht="15" x14ac:dyDescent="0.2">
      <c r="A19" s="94">
        <v>11</v>
      </c>
      <c r="B19" s="94"/>
      <c r="C19" s="26"/>
      <c r="D19" s="26"/>
      <c r="E19" s="26"/>
      <c r="F19" s="26"/>
      <c r="G19" s="26"/>
      <c r="H19" s="26"/>
      <c r="I19" s="270"/>
      <c r="J19" s="270"/>
      <c r="K19" s="270"/>
      <c r="L19" s="26"/>
    </row>
    <row r="20" spans="1:12" customFormat="1" ht="15" x14ac:dyDescent="0.2">
      <c r="A20" s="94">
        <v>12</v>
      </c>
      <c r="B20" s="94"/>
      <c r="C20" s="26"/>
      <c r="D20" s="26"/>
      <c r="E20" s="26"/>
      <c r="F20" s="26"/>
      <c r="G20" s="26"/>
      <c r="H20" s="26"/>
      <c r="I20" s="270"/>
      <c r="J20" s="270"/>
      <c r="K20" s="270"/>
      <c r="L20" s="26"/>
    </row>
    <row r="21" spans="1:12" customFormat="1" ht="15" x14ac:dyDescent="0.2">
      <c r="A21" s="94">
        <v>13</v>
      </c>
      <c r="B21" s="94"/>
      <c r="C21" s="26"/>
      <c r="D21" s="26"/>
      <c r="E21" s="26"/>
      <c r="F21" s="26"/>
      <c r="G21" s="26"/>
      <c r="H21" s="26"/>
      <c r="I21" s="270"/>
      <c r="J21" s="270"/>
      <c r="K21" s="270"/>
      <c r="L21" s="26"/>
    </row>
    <row r="22" spans="1:12" customFormat="1" ht="15" x14ac:dyDescent="0.2">
      <c r="A22" s="94">
        <v>14</v>
      </c>
      <c r="B22" s="94"/>
      <c r="C22" s="26"/>
      <c r="D22" s="26"/>
      <c r="E22" s="26"/>
      <c r="F22" s="26"/>
      <c r="G22" s="26"/>
      <c r="H22" s="26"/>
      <c r="I22" s="270"/>
      <c r="J22" s="270"/>
      <c r="K22" s="270"/>
      <c r="L22" s="26"/>
    </row>
    <row r="23" spans="1:12" customFormat="1" ht="15" x14ac:dyDescent="0.2">
      <c r="A23" s="94">
        <v>15</v>
      </c>
      <c r="B23" s="94"/>
      <c r="C23" s="26"/>
      <c r="D23" s="26"/>
      <c r="E23" s="26"/>
      <c r="F23" s="26"/>
      <c r="G23" s="26"/>
      <c r="H23" s="26"/>
      <c r="I23" s="270"/>
      <c r="J23" s="270"/>
      <c r="K23" s="270"/>
      <c r="L23" s="26"/>
    </row>
    <row r="24" spans="1:12" customFormat="1" ht="15" x14ac:dyDescent="0.2">
      <c r="A24" s="94">
        <v>16</v>
      </c>
      <c r="B24" s="94"/>
      <c r="C24" s="26"/>
      <c r="D24" s="26"/>
      <c r="E24" s="26"/>
      <c r="F24" s="26"/>
      <c r="G24" s="26"/>
      <c r="H24" s="26"/>
      <c r="I24" s="270"/>
      <c r="J24" s="270"/>
      <c r="K24" s="270"/>
      <c r="L24" s="26"/>
    </row>
    <row r="25" spans="1:12" customFormat="1" ht="15" x14ac:dyDescent="0.2">
      <c r="A25" s="94">
        <v>17</v>
      </c>
      <c r="B25" s="94"/>
      <c r="C25" s="26"/>
      <c r="D25" s="26"/>
      <c r="E25" s="26"/>
      <c r="F25" s="26"/>
      <c r="G25" s="26"/>
      <c r="H25" s="26"/>
      <c r="I25" s="270"/>
      <c r="J25" s="270"/>
      <c r="K25" s="270"/>
      <c r="L25" s="26"/>
    </row>
    <row r="26" spans="1:12" customFormat="1" ht="15" x14ac:dyDescent="0.2">
      <c r="A26" s="94">
        <v>18</v>
      </c>
      <c r="B26" s="94"/>
      <c r="C26" s="26"/>
      <c r="D26" s="26"/>
      <c r="E26" s="26"/>
      <c r="F26" s="26"/>
      <c r="G26" s="26"/>
      <c r="H26" s="26"/>
      <c r="I26" s="270"/>
      <c r="J26" s="270"/>
      <c r="K26" s="270"/>
      <c r="L26" s="26"/>
    </row>
    <row r="27" spans="1:12" customFormat="1" ht="15" x14ac:dyDescent="0.2">
      <c r="A27" s="94" t="s">
        <v>284</v>
      </c>
      <c r="B27" s="94"/>
      <c r="C27" s="26"/>
      <c r="D27" s="26"/>
      <c r="E27" s="26"/>
      <c r="F27" s="26"/>
      <c r="G27" s="26"/>
      <c r="H27" s="26"/>
      <c r="I27" s="270"/>
      <c r="J27" s="270"/>
      <c r="K27" s="270"/>
      <c r="L27" s="26"/>
    </row>
    <row r="28" spans="1:12" x14ac:dyDescent="0.2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</row>
    <row r="29" spans="1:12" x14ac:dyDescent="0.2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1:12" x14ac:dyDescent="0.2">
      <c r="A30" s="276"/>
      <c r="B30" s="276"/>
      <c r="C30" s="275"/>
      <c r="D30" s="275"/>
      <c r="E30" s="275"/>
      <c r="F30" s="275"/>
      <c r="G30" s="275"/>
      <c r="H30" s="275"/>
      <c r="I30" s="275"/>
      <c r="J30" s="275"/>
      <c r="K30" s="275"/>
      <c r="L30" s="275"/>
    </row>
    <row r="31" spans="1:12" ht="15" x14ac:dyDescent="0.3">
      <c r="A31" s="233"/>
      <c r="B31" s="233"/>
      <c r="C31" s="235" t="s">
        <v>107</v>
      </c>
      <c r="D31" s="233"/>
      <c r="E31" s="233"/>
      <c r="F31" s="236"/>
      <c r="G31" s="233"/>
      <c r="H31" s="233"/>
      <c r="I31" s="233"/>
      <c r="J31" s="233"/>
      <c r="K31" s="233"/>
      <c r="L31" s="233"/>
    </row>
    <row r="32" spans="1:12" ht="15" x14ac:dyDescent="0.3">
      <c r="A32" s="233"/>
      <c r="B32" s="233"/>
      <c r="C32" s="233"/>
      <c r="D32" s="237"/>
      <c r="E32" s="233"/>
      <c r="G32" s="237"/>
      <c r="H32" s="281"/>
    </row>
    <row r="33" spans="3:7" ht="15" x14ac:dyDescent="0.3">
      <c r="C33" s="233"/>
      <c r="D33" s="239" t="s">
        <v>271</v>
      </c>
      <c r="E33" s="233"/>
      <c r="G33" s="240" t="s">
        <v>276</v>
      </c>
    </row>
    <row r="34" spans="3:7" ht="15" x14ac:dyDescent="0.3">
      <c r="C34" s="233"/>
      <c r="D34" s="241" t="s">
        <v>140</v>
      </c>
      <c r="E34" s="233"/>
      <c r="G34" s="233" t="s">
        <v>272</v>
      </c>
    </row>
    <row r="35" spans="3:7" ht="15" x14ac:dyDescent="0.3">
      <c r="C35" s="233"/>
      <c r="D35" s="241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0" zoomScaleSheetLayoutView="70" workbookViewId="0">
      <selection activeCell="A5" sqref="A5:F5"/>
    </sheetView>
  </sheetViews>
  <sheetFormatPr defaultRowHeight="12.75" x14ac:dyDescent="0.2"/>
  <cols>
    <col min="1" max="1" width="11.7109375" style="234" customWidth="1"/>
    <col min="2" max="2" width="21.5703125" style="234" customWidth="1"/>
    <col min="3" max="3" width="19.140625" style="234" customWidth="1"/>
    <col min="4" max="4" width="23.7109375" style="234" customWidth="1"/>
    <col min="5" max="5" width="16.5703125" style="234" bestFit="1" customWidth="1"/>
    <col min="6" max="6" width="15" style="234" customWidth="1"/>
    <col min="7" max="7" width="15.42578125" style="234" customWidth="1"/>
    <col min="8" max="8" width="19" style="234" customWidth="1"/>
    <col min="9" max="9" width="24.42578125" style="234" customWidth="1"/>
    <col min="10" max="16384" width="9.140625" style="234"/>
  </cols>
  <sheetData>
    <row r="1" spans="1:13" customFormat="1" ht="15" x14ac:dyDescent="0.2">
      <c r="A1" s="182" t="s">
        <v>469</v>
      </c>
      <c r="B1" s="183"/>
      <c r="C1" s="183"/>
      <c r="D1" s="183"/>
      <c r="E1" s="183"/>
      <c r="F1" s="183"/>
      <c r="G1" s="183"/>
      <c r="H1" s="189"/>
      <c r="I1" s="108" t="s">
        <v>110</v>
      </c>
    </row>
    <row r="2" spans="1:13" customFormat="1" ht="15" x14ac:dyDescent="0.3">
      <c r="A2" s="150" t="s">
        <v>141</v>
      </c>
      <c r="B2" s="183"/>
      <c r="C2" s="183"/>
      <c r="D2" s="183"/>
      <c r="E2" s="183"/>
      <c r="F2" s="183"/>
      <c r="G2" s="183"/>
      <c r="H2" s="189"/>
      <c r="I2" s="341" t="s">
        <v>519</v>
      </c>
    </row>
    <row r="3" spans="1:13" customFormat="1" ht="15" x14ac:dyDescent="0.2">
      <c r="A3" s="183"/>
      <c r="B3" s="183"/>
      <c r="C3" s="183"/>
      <c r="D3" s="183"/>
      <c r="E3" s="183"/>
      <c r="F3" s="183"/>
      <c r="G3" s="183"/>
      <c r="H3" s="186"/>
      <c r="I3" s="186"/>
      <c r="M3" s="234"/>
    </row>
    <row r="4" spans="1:13" customFormat="1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83"/>
      <c r="E4" s="183"/>
      <c r="F4" s="183"/>
      <c r="G4" s="183"/>
      <c r="H4" s="183"/>
      <c r="I4" s="192"/>
    </row>
    <row r="5" spans="1:13" ht="15" x14ac:dyDescent="0.3">
      <c r="A5" s="272" t="s">
        <v>520</v>
      </c>
      <c r="B5" s="110"/>
      <c r="C5" s="110"/>
      <c r="D5" s="110"/>
      <c r="E5" s="110"/>
      <c r="F5" s="110"/>
      <c r="G5" s="110"/>
      <c r="H5" s="273"/>
      <c r="I5" s="274"/>
    </row>
    <row r="6" spans="1:13" customFormat="1" ht="13.5" x14ac:dyDescent="0.2">
      <c r="A6" s="187"/>
      <c r="B6" s="188"/>
      <c r="C6" s="188"/>
      <c r="D6" s="183"/>
      <c r="E6" s="183"/>
      <c r="F6" s="183"/>
      <c r="G6" s="183"/>
      <c r="H6" s="183"/>
      <c r="I6" s="183"/>
    </row>
    <row r="7" spans="1:13" customFormat="1" ht="60" x14ac:dyDescent="0.2">
      <c r="A7" s="195" t="s">
        <v>64</v>
      </c>
      <c r="B7" s="181" t="s">
        <v>389</v>
      </c>
      <c r="C7" s="181" t="s">
        <v>390</v>
      </c>
      <c r="D7" s="181" t="s">
        <v>395</v>
      </c>
      <c r="E7" s="181" t="s">
        <v>397</v>
      </c>
      <c r="F7" s="181" t="s">
        <v>391</v>
      </c>
      <c r="G7" s="181" t="s">
        <v>392</v>
      </c>
      <c r="H7" s="181" t="s">
        <v>404</v>
      </c>
      <c r="I7" s="181" t="s">
        <v>393</v>
      </c>
    </row>
    <row r="8" spans="1:13" customFormat="1" ht="15" x14ac:dyDescent="0.2">
      <c r="A8" s="179">
        <v>1</v>
      </c>
      <c r="B8" s="179">
        <v>2</v>
      </c>
      <c r="C8" s="181">
        <v>3</v>
      </c>
      <c r="D8" s="179">
        <v>6</v>
      </c>
      <c r="E8" s="181">
        <v>7</v>
      </c>
      <c r="F8" s="179">
        <v>8</v>
      </c>
      <c r="G8" s="179">
        <v>9</v>
      </c>
      <c r="H8" s="179">
        <v>10</v>
      </c>
      <c r="I8" s="181">
        <v>11</v>
      </c>
    </row>
    <row r="9" spans="1:13" customFormat="1" ht="45" x14ac:dyDescent="0.2">
      <c r="A9" s="342">
        <v>1</v>
      </c>
      <c r="B9" s="343" t="s">
        <v>472</v>
      </c>
      <c r="C9" s="343" t="s">
        <v>473</v>
      </c>
      <c r="D9" s="343">
        <v>49</v>
      </c>
      <c r="E9" s="539">
        <v>2000</v>
      </c>
      <c r="F9" s="343"/>
      <c r="G9" s="344"/>
      <c r="H9" s="345">
        <v>205177057</v>
      </c>
      <c r="I9" s="343" t="s">
        <v>474</v>
      </c>
      <c r="J9" s="234"/>
    </row>
    <row r="10" spans="1:13" customFormat="1" ht="45" x14ac:dyDescent="0.2">
      <c r="A10" s="342">
        <v>2</v>
      </c>
      <c r="B10" s="343" t="s">
        <v>475</v>
      </c>
      <c r="C10" s="343" t="s">
        <v>476</v>
      </c>
      <c r="D10" s="343">
        <v>9</v>
      </c>
      <c r="E10" s="540"/>
      <c r="F10" s="343"/>
      <c r="G10" s="344"/>
      <c r="H10" s="345">
        <v>205177057</v>
      </c>
      <c r="I10" s="343" t="s">
        <v>477</v>
      </c>
      <c r="J10" s="234"/>
    </row>
    <row r="11" spans="1:13" customFormat="1" ht="15" x14ac:dyDescent="0.2">
      <c r="A11" s="342">
        <v>3</v>
      </c>
      <c r="B11" s="343" t="s">
        <v>478</v>
      </c>
      <c r="C11" s="343"/>
      <c r="D11" s="343">
        <v>18</v>
      </c>
      <c r="E11" s="540"/>
      <c r="F11" s="343"/>
      <c r="G11" s="344"/>
      <c r="H11" s="345">
        <v>205177057</v>
      </c>
      <c r="I11" s="343" t="s">
        <v>477</v>
      </c>
      <c r="J11" s="234"/>
    </row>
    <row r="12" spans="1:13" customFormat="1" ht="15" x14ac:dyDescent="0.2">
      <c r="A12" s="342">
        <v>4</v>
      </c>
      <c r="B12" s="343" t="s">
        <v>479</v>
      </c>
      <c r="C12" s="343"/>
      <c r="D12" s="343">
        <v>52</v>
      </c>
      <c r="E12" s="540"/>
      <c r="F12" s="343"/>
      <c r="G12" s="344"/>
      <c r="H12" s="345">
        <v>205177057</v>
      </c>
      <c r="I12" s="343" t="s">
        <v>477</v>
      </c>
      <c r="J12" s="234"/>
    </row>
    <row r="13" spans="1:13" customFormat="1" ht="15" x14ac:dyDescent="0.2">
      <c r="A13" s="342">
        <v>5</v>
      </c>
      <c r="B13" s="343" t="s">
        <v>480</v>
      </c>
      <c r="C13" s="343"/>
      <c r="D13" s="343">
        <v>120</v>
      </c>
      <c r="E13" s="540"/>
      <c r="F13" s="343"/>
      <c r="G13" s="344"/>
      <c r="H13" s="345">
        <v>205177057</v>
      </c>
      <c r="I13" s="343" t="s">
        <v>477</v>
      </c>
      <c r="J13" s="234"/>
    </row>
    <row r="14" spans="1:13" customFormat="1" ht="15" x14ac:dyDescent="0.2">
      <c r="A14" s="342">
        <v>6</v>
      </c>
      <c r="B14" s="343" t="s">
        <v>481</v>
      </c>
      <c r="C14" s="343"/>
      <c r="D14" s="343">
        <v>1</v>
      </c>
      <c r="E14" s="540"/>
      <c r="F14" s="343"/>
      <c r="G14" s="344"/>
      <c r="H14" s="345">
        <v>205177057</v>
      </c>
      <c r="I14" s="343" t="s">
        <v>477</v>
      </c>
      <c r="J14" s="234"/>
    </row>
    <row r="15" spans="1:13" customFormat="1" ht="15" x14ac:dyDescent="0.2">
      <c r="A15" s="342">
        <v>7</v>
      </c>
      <c r="B15" s="343" t="s">
        <v>482</v>
      </c>
      <c r="C15" s="343" t="s">
        <v>483</v>
      </c>
      <c r="D15" s="343">
        <v>240</v>
      </c>
      <c r="E15" s="540"/>
      <c r="F15" s="343"/>
      <c r="G15" s="344"/>
      <c r="H15" s="345">
        <v>205177057</v>
      </c>
      <c r="I15" s="343" t="s">
        <v>477</v>
      </c>
      <c r="J15" s="234"/>
    </row>
    <row r="16" spans="1:13" customFormat="1" ht="15" x14ac:dyDescent="0.2">
      <c r="A16" s="342">
        <v>8</v>
      </c>
      <c r="B16" s="343" t="s">
        <v>484</v>
      </c>
      <c r="C16" s="343"/>
      <c r="D16" s="343">
        <v>126</v>
      </c>
      <c r="E16" s="540"/>
      <c r="F16" s="343"/>
      <c r="G16" s="344"/>
      <c r="H16" s="345">
        <v>205177057</v>
      </c>
      <c r="I16" s="343" t="s">
        <v>477</v>
      </c>
      <c r="J16" s="234"/>
    </row>
    <row r="17" spans="1:10" customFormat="1" ht="15" x14ac:dyDescent="0.2">
      <c r="A17" s="342">
        <v>9</v>
      </c>
      <c r="B17" s="343" t="s">
        <v>485</v>
      </c>
      <c r="C17" s="343"/>
      <c r="D17" s="343">
        <v>14</v>
      </c>
      <c r="E17" s="540"/>
      <c r="F17" s="343"/>
      <c r="G17" s="344"/>
      <c r="H17" s="345">
        <v>205177057</v>
      </c>
      <c r="I17" s="343" t="s">
        <v>477</v>
      </c>
      <c r="J17" s="234"/>
    </row>
    <row r="18" spans="1:10" customFormat="1" ht="15" x14ac:dyDescent="0.2">
      <c r="A18" s="342">
        <v>10</v>
      </c>
      <c r="B18" s="343" t="s">
        <v>486</v>
      </c>
      <c r="C18" s="343" t="s">
        <v>487</v>
      </c>
      <c r="D18" s="343">
        <v>14</v>
      </c>
      <c r="E18" s="540"/>
      <c r="F18" s="343"/>
      <c r="G18" s="344"/>
      <c r="H18" s="345">
        <v>205177057</v>
      </c>
      <c r="I18" s="343" t="s">
        <v>477</v>
      </c>
      <c r="J18" s="234"/>
    </row>
    <row r="19" spans="1:10" customFormat="1" ht="15" x14ac:dyDescent="0.2">
      <c r="A19" s="342">
        <v>11</v>
      </c>
      <c r="B19" s="343" t="s">
        <v>486</v>
      </c>
      <c r="C19" s="343" t="s">
        <v>487</v>
      </c>
      <c r="D19" s="343">
        <v>106</v>
      </c>
      <c r="E19" s="540"/>
      <c r="F19" s="343"/>
      <c r="G19" s="344"/>
      <c r="H19" s="345">
        <v>205177057</v>
      </c>
      <c r="I19" s="343" t="s">
        <v>477</v>
      </c>
      <c r="J19" s="234"/>
    </row>
    <row r="20" spans="1:10" customFormat="1" ht="15" x14ac:dyDescent="0.2">
      <c r="A20" s="342">
        <v>12</v>
      </c>
      <c r="B20" s="343" t="s">
        <v>488</v>
      </c>
      <c r="C20" s="343"/>
      <c r="D20" s="343">
        <v>110</v>
      </c>
      <c r="E20" s="540"/>
      <c r="F20" s="343"/>
      <c r="G20" s="344"/>
      <c r="H20" s="345">
        <v>205177057</v>
      </c>
      <c r="I20" s="343" t="s">
        <v>477</v>
      </c>
      <c r="J20" s="234"/>
    </row>
    <row r="21" spans="1:10" customFormat="1" ht="30" x14ac:dyDescent="0.2">
      <c r="A21" s="342">
        <v>13</v>
      </c>
      <c r="B21" s="343" t="s">
        <v>489</v>
      </c>
      <c r="C21" s="343" t="s">
        <v>490</v>
      </c>
      <c r="D21" s="343">
        <v>120</v>
      </c>
      <c r="E21" s="540"/>
      <c r="F21" s="343"/>
      <c r="G21" s="344"/>
      <c r="H21" s="345">
        <v>205177057</v>
      </c>
      <c r="I21" s="343" t="s">
        <v>477</v>
      </c>
      <c r="J21" s="234"/>
    </row>
    <row r="22" spans="1:10" customFormat="1" ht="30" x14ac:dyDescent="0.2">
      <c r="A22" s="342">
        <v>14</v>
      </c>
      <c r="B22" s="343" t="s">
        <v>491</v>
      </c>
      <c r="C22" s="343" t="s">
        <v>492</v>
      </c>
      <c r="D22" s="343">
        <v>48</v>
      </c>
      <c r="E22" s="540"/>
      <c r="F22" s="343"/>
      <c r="G22" s="344"/>
      <c r="H22" s="345">
        <v>205177057</v>
      </c>
      <c r="I22" s="343" t="s">
        <v>477</v>
      </c>
      <c r="J22" s="234"/>
    </row>
    <row r="23" spans="1:10" customFormat="1" ht="30" x14ac:dyDescent="0.2">
      <c r="A23" s="342">
        <v>15</v>
      </c>
      <c r="B23" s="343" t="s">
        <v>491</v>
      </c>
      <c r="C23" s="343" t="s">
        <v>493</v>
      </c>
      <c r="D23" s="343">
        <v>72</v>
      </c>
      <c r="E23" s="540"/>
      <c r="F23" s="343"/>
      <c r="G23" s="344"/>
      <c r="H23" s="345">
        <v>205177057</v>
      </c>
      <c r="I23" s="343" t="s">
        <v>477</v>
      </c>
      <c r="J23" s="234"/>
    </row>
    <row r="24" spans="1:10" customFormat="1" ht="30" x14ac:dyDescent="0.2">
      <c r="A24" s="342">
        <v>16</v>
      </c>
      <c r="B24" s="343" t="s">
        <v>494</v>
      </c>
      <c r="C24" s="343"/>
      <c r="D24" s="343">
        <v>76</v>
      </c>
      <c r="E24" s="540"/>
      <c r="F24" s="343"/>
      <c r="G24" s="344"/>
      <c r="H24" s="345">
        <v>205177057</v>
      </c>
      <c r="I24" s="343" t="s">
        <v>477</v>
      </c>
      <c r="J24" s="234"/>
    </row>
    <row r="25" spans="1:10" customFormat="1" ht="30" x14ac:dyDescent="0.2">
      <c r="A25" s="342">
        <v>17</v>
      </c>
      <c r="B25" s="343" t="s">
        <v>494</v>
      </c>
      <c r="C25" s="343" t="s">
        <v>495</v>
      </c>
      <c r="D25" s="343">
        <v>44</v>
      </c>
      <c r="E25" s="540"/>
      <c r="F25" s="343"/>
      <c r="G25" s="344"/>
      <c r="H25" s="345">
        <v>205177057</v>
      </c>
      <c r="I25" s="343" t="s">
        <v>477</v>
      </c>
      <c r="J25" s="234"/>
    </row>
    <row r="26" spans="1:10" customFormat="1" ht="15" x14ac:dyDescent="0.2">
      <c r="A26" s="342">
        <v>18</v>
      </c>
      <c r="B26" s="343" t="s">
        <v>496</v>
      </c>
      <c r="C26" s="343"/>
      <c r="D26" s="343">
        <v>58</v>
      </c>
      <c r="E26" s="540"/>
      <c r="F26" s="343"/>
      <c r="G26" s="344"/>
      <c r="H26" s="345">
        <v>205177057</v>
      </c>
      <c r="I26" s="343" t="s">
        <v>477</v>
      </c>
      <c r="J26" s="234"/>
    </row>
    <row r="27" spans="1:10" customFormat="1" ht="15" x14ac:dyDescent="0.2">
      <c r="A27" s="342">
        <v>19</v>
      </c>
      <c r="B27" s="343" t="s">
        <v>497</v>
      </c>
      <c r="C27" s="343"/>
      <c r="D27" s="343">
        <v>375</v>
      </c>
      <c r="E27" s="540"/>
      <c r="F27" s="343"/>
      <c r="G27" s="344"/>
      <c r="H27" s="345">
        <v>205177057</v>
      </c>
      <c r="I27" s="343" t="s">
        <v>477</v>
      </c>
      <c r="J27" s="234"/>
    </row>
    <row r="28" spans="1:10" ht="15" x14ac:dyDescent="0.2">
      <c r="A28" s="342">
        <v>20</v>
      </c>
      <c r="B28" s="343" t="s">
        <v>498</v>
      </c>
      <c r="C28" s="343" t="s">
        <v>499</v>
      </c>
      <c r="D28" s="343">
        <v>102</v>
      </c>
      <c r="E28" s="540"/>
      <c r="F28" s="343"/>
      <c r="G28" s="344"/>
      <c r="H28" s="345">
        <v>205177057</v>
      </c>
      <c r="I28" s="343" t="s">
        <v>477</v>
      </c>
    </row>
    <row r="29" spans="1:10" ht="30" x14ac:dyDescent="0.2">
      <c r="A29" s="342">
        <v>21</v>
      </c>
      <c r="B29" s="343" t="s">
        <v>498</v>
      </c>
      <c r="C29" s="343" t="s">
        <v>500</v>
      </c>
      <c r="D29" s="343">
        <v>1</v>
      </c>
      <c r="E29" s="540"/>
      <c r="F29" s="343"/>
      <c r="G29" s="344"/>
      <c r="H29" s="345">
        <v>205177057</v>
      </c>
      <c r="I29" s="343" t="s">
        <v>477</v>
      </c>
    </row>
    <row r="30" spans="1:10" ht="15" x14ac:dyDescent="0.2">
      <c r="A30" s="342">
        <v>22</v>
      </c>
      <c r="B30" s="343" t="s">
        <v>497</v>
      </c>
      <c r="C30" s="343" t="s">
        <v>501</v>
      </c>
      <c r="D30" s="343">
        <v>2</v>
      </c>
      <c r="E30" s="540"/>
      <c r="F30" s="343"/>
      <c r="G30" s="344"/>
      <c r="H30" s="345">
        <v>205177057</v>
      </c>
      <c r="I30" s="343" t="s">
        <v>477</v>
      </c>
    </row>
    <row r="31" spans="1:10" ht="15" x14ac:dyDescent="0.2">
      <c r="A31" s="342">
        <v>23</v>
      </c>
      <c r="B31" s="343" t="s">
        <v>497</v>
      </c>
      <c r="C31" s="343" t="s">
        <v>502</v>
      </c>
      <c r="D31" s="343">
        <v>6</v>
      </c>
      <c r="E31" s="540"/>
      <c r="F31" s="343"/>
      <c r="G31" s="344"/>
      <c r="H31" s="345">
        <v>205177057</v>
      </c>
      <c r="I31" s="343" t="s">
        <v>477</v>
      </c>
    </row>
    <row r="32" spans="1:10" ht="15" x14ac:dyDescent="0.2">
      <c r="A32" s="342">
        <v>24</v>
      </c>
      <c r="B32" s="343" t="s">
        <v>497</v>
      </c>
      <c r="C32" s="343" t="s">
        <v>503</v>
      </c>
      <c r="D32" s="343">
        <v>42</v>
      </c>
      <c r="E32" s="540"/>
      <c r="F32" s="343"/>
      <c r="G32" s="344"/>
      <c r="H32" s="345">
        <v>205177057</v>
      </c>
      <c r="I32" s="343" t="s">
        <v>477</v>
      </c>
    </row>
    <row r="33" spans="1:11" ht="45" x14ac:dyDescent="0.2">
      <c r="A33" s="342">
        <v>25</v>
      </c>
      <c r="B33" s="343" t="s">
        <v>504</v>
      </c>
      <c r="C33" s="343" t="s">
        <v>505</v>
      </c>
      <c r="D33" s="343">
        <v>18</v>
      </c>
      <c r="E33" s="540"/>
      <c r="F33" s="343"/>
      <c r="G33" s="344"/>
      <c r="H33" s="345">
        <v>205177057</v>
      </c>
      <c r="I33" s="343" t="s">
        <v>477</v>
      </c>
    </row>
    <row r="34" spans="1:11" ht="45" x14ac:dyDescent="0.2">
      <c r="A34" s="342">
        <v>26</v>
      </c>
      <c r="B34" s="343" t="s">
        <v>504</v>
      </c>
      <c r="C34" s="343" t="s">
        <v>506</v>
      </c>
      <c r="D34" s="343">
        <v>41</v>
      </c>
      <c r="E34" s="540"/>
      <c r="F34" s="343"/>
      <c r="G34" s="344"/>
      <c r="H34" s="345">
        <v>205177057</v>
      </c>
      <c r="I34" s="343" t="s">
        <v>477</v>
      </c>
    </row>
    <row r="35" spans="1:11" ht="15" x14ac:dyDescent="0.2">
      <c r="A35" s="342">
        <v>27</v>
      </c>
      <c r="B35" s="343" t="s">
        <v>507</v>
      </c>
      <c r="C35" s="343" t="s">
        <v>508</v>
      </c>
      <c r="D35" s="343">
        <v>2116</v>
      </c>
      <c r="E35" s="540"/>
      <c r="F35" s="343"/>
      <c r="G35" s="344"/>
      <c r="H35" s="345">
        <v>205177057</v>
      </c>
      <c r="I35" s="343" t="s">
        <v>477</v>
      </c>
    </row>
    <row r="36" spans="1:11" ht="15" x14ac:dyDescent="0.2">
      <c r="A36" s="342">
        <v>28</v>
      </c>
      <c r="B36" s="343" t="s">
        <v>509</v>
      </c>
      <c r="C36" s="343" t="s">
        <v>510</v>
      </c>
      <c r="D36" s="343">
        <v>22</v>
      </c>
      <c r="E36" s="540"/>
      <c r="F36" s="343"/>
      <c r="G36" s="344"/>
      <c r="H36" s="345">
        <v>205177057</v>
      </c>
      <c r="I36" s="343" t="s">
        <v>477</v>
      </c>
    </row>
    <row r="37" spans="1:11" ht="15" x14ac:dyDescent="0.2">
      <c r="A37" s="342">
        <v>29</v>
      </c>
      <c r="B37" s="343" t="s">
        <v>511</v>
      </c>
      <c r="C37" s="343"/>
      <c r="D37" s="343">
        <v>49</v>
      </c>
      <c r="E37" s="540"/>
      <c r="F37" s="343"/>
      <c r="G37" s="344"/>
      <c r="H37" s="345">
        <v>205177057</v>
      </c>
      <c r="I37" s="343" t="s">
        <v>477</v>
      </c>
    </row>
    <row r="38" spans="1:11" ht="15" x14ac:dyDescent="0.2">
      <c r="A38" s="342">
        <v>30</v>
      </c>
      <c r="B38" s="343" t="s">
        <v>512</v>
      </c>
      <c r="C38" s="343"/>
      <c r="D38" s="343">
        <v>269</v>
      </c>
      <c r="E38" s="540"/>
      <c r="F38" s="343"/>
      <c r="G38" s="344"/>
      <c r="H38" s="345">
        <v>205177057</v>
      </c>
      <c r="I38" s="343" t="s">
        <v>477</v>
      </c>
    </row>
    <row r="39" spans="1:11" ht="15" x14ac:dyDescent="0.2">
      <c r="A39" s="342">
        <v>31</v>
      </c>
      <c r="B39" s="343" t="s">
        <v>512</v>
      </c>
      <c r="C39" s="343" t="s">
        <v>513</v>
      </c>
      <c r="D39" s="343">
        <v>102</v>
      </c>
      <c r="E39" s="540"/>
      <c r="F39" s="343"/>
      <c r="G39" s="344"/>
      <c r="H39" s="345">
        <v>205177057</v>
      </c>
      <c r="I39" s="343" t="s">
        <v>477</v>
      </c>
    </row>
    <row r="40" spans="1:11" ht="30" x14ac:dyDescent="0.2">
      <c r="A40" s="342">
        <v>32</v>
      </c>
      <c r="B40" s="343" t="s">
        <v>488</v>
      </c>
      <c r="C40" s="343" t="s">
        <v>514</v>
      </c>
      <c r="D40" s="343">
        <v>44</v>
      </c>
      <c r="E40" s="540"/>
      <c r="F40" s="343"/>
      <c r="G40" s="344"/>
      <c r="H40" s="345">
        <v>205177057</v>
      </c>
      <c r="I40" s="343" t="s">
        <v>477</v>
      </c>
    </row>
    <row r="41" spans="1:11" ht="15" x14ac:dyDescent="0.2">
      <c r="A41" s="342">
        <v>33</v>
      </c>
      <c r="B41" s="343" t="s">
        <v>515</v>
      </c>
      <c r="C41" s="343"/>
      <c r="D41" s="343">
        <v>196</v>
      </c>
      <c r="E41" s="540"/>
      <c r="F41" s="343"/>
      <c r="G41" s="344"/>
      <c r="H41" s="345">
        <v>205177057</v>
      </c>
      <c r="I41" s="343" t="s">
        <v>477</v>
      </c>
    </row>
    <row r="42" spans="1:11" ht="15" x14ac:dyDescent="0.2">
      <c r="A42" s="342">
        <v>34</v>
      </c>
      <c r="B42" s="343" t="s">
        <v>516</v>
      </c>
      <c r="C42" s="343" t="s">
        <v>517</v>
      </c>
      <c r="D42" s="343">
        <v>158</v>
      </c>
      <c r="E42" s="540"/>
      <c r="F42" s="343"/>
      <c r="G42" s="344"/>
      <c r="H42" s="345">
        <v>205177057</v>
      </c>
      <c r="I42" s="343" t="s">
        <v>477</v>
      </c>
    </row>
    <row r="43" spans="1:11" ht="15" x14ac:dyDescent="0.2">
      <c r="A43" s="342">
        <v>35</v>
      </c>
      <c r="B43" s="346" t="s">
        <v>518</v>
      </c>
      <c r="C43" s="346"/>
      <c r="D43" s="343"/>
      <c r="E43" s="541"/>
      <c r="F43" s="343"/>
      <c r="G43" s="344"/>
      <c r="H43" s="344"/>
      <c r="I43" s="343" t="s">
        <v>477</v>
      </c>
    </row>
    <row r="46" spans="1:11" x14ac:dyDescent="0.2">
      <c r="B46" s="276"/>
      <c r="C46" s="275"/>
      <c r="D46" s="275"/>
      <c r="E46" s="275"/>
      <c r="F46" s="275"/>
      <c r="G46" s="275"/>
      <c r="H46" s="275"/>
      <c r="I46" s="275"/>
      <c r="J46" s="275"/>
      <c r="K46" s="275"/>
    </row>
    <row r="47" spans="1:11" ht="15" x14ac:dyDescent="0.3">
      <c r="B47" s="233"/>
      <c r="C47" s="235" t="s">
        <v>107</v>
      </c>
      <c r="D47" s="235"/>
      <c r="E47" s="233"/>
      <c r="F47" s="233"/>
      <c r="G47" s="236"/>
      <c r="H47" s="233"/>
      <c r="I47" s="233"/>
      <c r="J47" s="233"/>
      <c r="K47" s="233"/>
    </row>
    <row r="48" spans="1:11" ht="15" x14ac:dyDescent="0.3">
      <c r="B48" s="233"/>
      <c r="C48" s="233"/>
      <c r="D48" s="233"/>
      <c r="E48" s="237"/>
      <c r="F48" s="233"/>
      <c r="H48" s="237"/>
      <c r="I48" s="281"/>
    </row>
    <row r="49" spans="3:8" ht="15" x14ac:dyDescent="0.3">
      <c r="C49" s="233"/>
      <c r="D49" s="233"/>
      <c r="E49" s="239" t="s">
        <v>271</v>
      </c>
      <c r="F49" s="233"/>
      <c r="H49" s="240" t="s">
        <v>276</v>
      </c>
    </row>
    <row r="50" spans="3:8" ht="15" x14ac:dyDescent="0.3">
      <c r="C50" s="233"/>
      <c r="D50" s="233"/>
      <c r="E50" s="233"/>
      <c r="F50" s="233"/>
      <c r="H50" s="233" t="s">
        <v>272</v>
      </c>
    </row>
    <row r="51" spans="3:8" ht="15" x14ac:dyDescent="0.3">
      <c r="C51" s="233"/>
      <c r="D51" s="233"/>
      <c r="E51" s="241" t="s">
        <v>140</v>
      </c>
    </row>
  </sheetData>
  <mergeCells count="1">
    <mergeCell ref="E9:E43"/>
  </mergeCells>
  <pageMargins left="0" right="0" top="0" bottom="0" header="0.31496062992125984" footer="0.31496062992125984"/>
  <pageSetup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topLeftCell="A65" zoomScale="70" zoomScaleSheetLayoutView="70" workbookViewId="0">
      <selection activeCell="M95" sqref="M95"/>
    </sheetView>
  </sheetViews>
  <sheetFormatPr defaultRowHeight="15" x14ac:dyDescent="0.3"/>
  <cols>
    <col min="1" max="1" width="10" style="233" customWidth="1"/>
    <col min="2" max="2" width="20.28515625" style="233" customWidth="1"/>
    <col min="3" max="3" width="30" style="233" customWidth="1"/>
    <col min="4" max="4" width="29" style="233" customWidth="1"/>
    <col min="5" max="5" width="22.5703125" style="233" customWidth="1"/>
    <col min="6" max="6" width="20" style="233" customWidth="1"/>
    <col min="7" max="7" width="27" style="233" customWidth="1"/>
    <col min="8" max="8" width="27.140625" style="233" customWidth="1"/>
    <col min="9" max="9" width="26.42578125" style="233" customWidth="1"/>
    <col min="10" max="10" width="0.5703125" style="233" customWidth="1"/>
    <col min="11" max="16384" width="9.140625" style="233"/>
  </cols>
  <sheetData>
    <row r="1" spans="1:10" x14ac:dyDescent="0.3">
      <c r="A1" s="104" t="s">
        <v>409</v>
      </c>
      <c r="B1" s="106"/>
      <c r="C1" s="106"/>
      <c r="D1" s="106"/>
      <c r="E1" s="106"/>
      <c r="F1" s="106"/>
      <c r="G1" s="106"/>
      <c r="H1" s="106"/>
      <c r="I1" s="458" t="s">
        <v>199</v>
      </c>
      <c r="J1" s="220"/>
    </row>
    <row r="2" spans="1:10" x14ac:dyDescent="0.3">
      <c r="A2" s="106" t="s">
        <v>141</v>
      </c>
      <c r="B2" s="106"/>
      <c r="C2" s="106"/>
      <c r="D2" s="106"/>
      <c r="E2" s="106"/>
      <c r="F2" s="106"/>
      <c r="G2" s="106"/>
      <c r="H2" s="106"/>
      <c r="I2" s="533" t="s">
        <v>618</v>
      </c>
      <c r="J2" s="534"/>
    </row>
    <row r="3" spans="1:10" x14ac:dyDescent="0.3">
      <c r="A3" s="106"/>
      <c r="B3" s="106"/>
      <c r="C3" s="106"/>
      <c r="D3" s="106"/>
      <c r="E3" s="106"/>
      <c r="F3" s="106"/>
      <c r="G3" s="106"/>
      <c r="H3" s="106"/>
      <c r="I3" s="147"/>
      <c r="J3" s="220"/>
    </row>
    <row r="4" spans="1:10" x14ac:dyDescent="0.3">
      <c r="A4" s="107" t="str">
        <f>'[2]ფორმა N2'!A4</f>
        <v>ანგარიშვალდებული პირის დასახელება:</v>
      </c>
      <c r="B4" s="106"/>
      <c r="C4" s="106"/>
      <c r="D4" s="106"/>
      <c r="E4" s="106"/>
      <c r="F4" s="106"/>
      <c r="G4" s="106"/>
      <c r="H4" s="106"/>
      <c r="I4" s="106"/>
      <c r="J4" s="149"/>
    </row>
    <row r="5" spans="1:10" x14ac:dyDescent="0.3">
      <c r="A5" s="272" t="s">
        <v>520</v>
      </c>
      <c r="B5" s="110"/>
      <c r="C5" s="110"/>
      <c r="D5" s="110"/>
      <c r="E5" s="110"/>
      <c r="F5" s="272"/>
      <c r="G5" s="272"/>
      <c r="H5" s="272"/>
      <c r="I5" s="272"/>
      <c r="J5" s="240"/>
    </row>
    <row r="6" spans="1:10" x14ac:dyDescent="0.3">
      <c r="A6" s="107"/>
      <c r="B6" s="106"/>
      <c r="C6" s="106"/>
      <c r="D6" s="106"/>
      <c r="E6" s="106"/>
      <c r="F6" s="106"/>
      <c r="G6" s="106"/>
      <c r="H6" s="106"/>
      <c r="I6" s="106"/>
      <c r="J6" s="149"/>
    </row>
    <row r="7" spans="1:10" x14ac:dyDescent="0.3">
      <c r="A7" s="106"/>
      <c r="B7" s="106"/>
      <c r="C7" s="106"/>
      <c r="D7" s="106"/>
      <c r="E7" s="106"/>
      <c r="F7" s="106"/>
      <c r="G7" s="106"/>
      <c r="H7" s="106"/>
      <c r="I7" s="106"/>
      <c r="J7" s="150"/>
    </row>
    <row r="8" spans="1:10" ht="63.75" customHeight="1" x14ac:dyDescent="0.3">
      <c r="A8" s="221" t="s">
        <v>64</v>
      </c>
      <c r="B8" s="221" t="s">
        <v>381</v>
      </c>
      <c r="C8" s="222" t="s">
        <v>441</v>
      </c>
      <c r="D8" s="222" t="s">
        <v>442</v>
      </c>
      <c r="E8" s="222" t="s">
        <v>382</v>
      </c>
      <c r="F8" s="222" t="s">
        <v>401</v>
      </c>
      <c r="G8" s="222" t="s">
        <v>402</v>
      </c>
      <c r="H8" s="462" t="s">
        <v>446</v>
      </c>
      <c r="I8" s="222" t="s">
        <v>403</v>
      </c>
      <c r="J8" s="150"/>
    </row>
    <row r="9" spans="1:10" x14ac:dyDescent="0.3">
      <c r="A9" s="463">
        <v>1</v>
      </c>
      <c r="B9" s="464" t="s">
        <v>754</v>
      </c>
      <c r="C9" s="465" t="s">
        <v>755</v>
      </c>
      <c r="D9" s="463">
        <v>236080557</v>
      </c>
      <c r="E9" s="465" t="s">
        <v>756</v>
      </c>
      <c r="F9" s="463">
        <v>29055.3</v>
      </c>
      <c r="G9" s="466"/>
      <c r="H9" s="457"/>
      <c r="I9" s="467">
        <v>29055.3</v>
      </c>
      <c r="J9" s="150"/>
    </row>
    <row r="10" spans="1:10" x14ac:dyDescent="0.3">
      <c r="A10" s="463">
        <v>2</v>
      </c>
      <c r="B10" s="464" t="s">
        <v>754</v>
      </c>
      <c r="C10" s="465" t="s">
        <v>757</v>
      </c>
      <c r="D10" s="463">
        <v>205150726</v>
      </c>
      <c r="E10" s="465" t="s">
        <v>756</v>
      </c>
      <c r="F10" s="463">
        <v>13051.56</v>
      </c>
      <c r="G10" s="466"/>
      <c r="H10" s="457"/>
      <c r="I10" s="467">
        <v>13051.56</v>
      </c>
      <c r="J10" s="150"/>
    </row>
    <row r="11" spans="1:10" x14ac:dyDescent="0.3">
      <c r="A11" s="463">
        <v>3</v>
      </c>
      <c r="B11" s="468" t="s">
        <v>758</v>
      </c>
      <c r="C11" s="469" t="s">
        <v>759</v>
      </c>
      <c r="D11" s="463">
        <v>205177057</v>
      </c>
      <c r="E11" s="469" t="s">
        <v>760</v>
      </c>
      <c r="F11" s="463">
        <v>8786.4</v>
      </c>
      <c r="G11" s="466"/>
      <c r="H11" s="457"/>
      <c r="I11" s="467">
        <v>8786.4</v>
      </c>
      <c r="J11" s="150"/>
    </row>
    <row r="12" spans="1:10" x14ac:dyDescent="0.3">
      <c r="A12" s="431">
        <v>4</v>
      </c>
      <c r="B12" s="470" t="s">
        <v>754</v>
      </c>
      <c r="C12" s="428" t="s">
        <v>761</v>
      </c>
      <c r="D12" s="431">
        <v>204973742</v>
      </c>
      <c r="E12" s="428" t="s">
        <v>762</v>
      </c>
      <c r="F12" s="431">
        <v>46828.87</v>
      </c>
      <c r="G12" s="471"/>
      <c r="H12" s="457"/>
      <c r="I12" s="472">
        <v>46828.87</v>
      </c>
      <c r="J12" s="150"/>
    </row>
    <row r="13" spans="1:10" x14ac:dyDescent="0.3">
      <c r="A13" s="431">
        <v>5</v>
      </c>
      <c r="B13" s="431" t="s">
        <v>763</v>
      </c>
      <c r="C13" s="428" t="s">
        <v>764</v>
      </c>
      <c r="D13" s="431">
        <v>203842823</v>
      </c>
      <c r="E13" s="428" t="s">
        <v>756</v>
      </c>
      <c r="F13" s="431">
        <v>509.93</v>
      </c>
      <c r="G13" s="471"/>
      <c r="H13" s="457"/>
      <c r="I13" s="472">
        <v>509.93</v>
      </c>
      <c r="J13" s="150"/>
    </row>
    <row r="14" spans="1:10" x14ac:dyDescent="0.3">
      <c r="A14" s="431">
        <v>6</v>
      </c>
      <c r="B14" s="473" t="s">
        <v>765</v>
      </c>
      <c r="C14" s="428" t="s">
        <v>766</v>
      </c>
      <c r="D14" s="431">
        <v>204436173</v>
      </c>
      <c r="E14" s="428" t="s">
        <v>750</v>
      </c>
      <c r="F14" s="431">
        <v>11827.34</v>
      </c>
      <c r="G14" s="471"/>
      <c r="H14" s="457"/>
      <c r="I14" s="472">
        <v>11827.34</v>
      </c>
      <c r="J14" s="150"/>
    </row>
    <row r="15" spans="1:10" x14ac:dyDescent="0.3">
      <c r="A15" s="431">
        <v>7</v>
      </c>
      <c r="B15" s="473" t="s">
        <v>813</v>
      </c>
      <c r="C15" s="457" t="s">
        <v>767</v>
      </c>
      <c r="D15" s="431">
        <v>205283637</v>
      </c>
      <c r="E15" s="457" t="s">
        <v>768</v>
      </c>
      <c r="F15" s="431">
        <v>60965.72</v>
      </c>
      <c r="G15" s="471"/>
      <c r="H15" s="457"/>
      <c r="I15" s="472">
        <v>60965.72</v>
      </c>
      <c r="J15" s="150"/>
    </row>
    <row r="16" spans="1:10" x14ac:dyDescent="0.3">
      <c r="A16" s="431">
        <v>8</v>
      </c>
      <c r="B16" s="473" t="s">
        <v>814</v>
      </c>
      <c r="C16" s="457" t="s">
        <v>769</v>
      </c>
      <c r="D16" s="431">
        <v>205177057</v>
      </c>
      <c r="E16" s="457" t="s">
        <v>770</v>
      </c>
      <c r="F16" s="431">
        <v>25208.9</v>
      </c>
      <c r="G16" s="471"/>
      <c r="H16" s="457"/>
      <c r="I16" s="472">
        <v>25208.9</v>
      </c>
      <c r="J16" s="150"/>
    </row>
    <row r="17" spans="1:10" x14ac:dyDescent="0.3">
      <c r="A17" s="431">
        <v>9</v>
      </c>
      <c r="B17" s="431" t="s">
        <v>771</v>
      </c>
      <c r="C17" s="457" t="s">
        <v>772</v>
      </c>
      <c r="D17" s="431">
        <v>205282905</v>
      </c>
      <c r="E17" s="457" t="s">
        <v>773</v>
      </c>
      <c r="F17" s="431">
        <v>3412.01</v>
      </c>
      <c r="G17" s="471"/>
      <c r="H17" s="457"/>
      <c r="I17" s="472">
        <v>3412.01</v>
      </c>
      <c r="J17" s="150"/>
    </row>
    <row r="18" spans="1:10" ht="30" x14ac:dyDescent="0.3">
      <c r="A18" s="431">
        <v>10</v>
      </c>
      <c r="B18" s="431" t="s">
        <v>774</v>
      </c>
      <c r="C18" s="229" t="s">
        <v>775</v>
      </c>
      <c r="D18" s="414">
        <v>208149859</v>
      </c>
      <c r="E18" s="228" t="s">
        <v>776</v>
      </c>
      <c r="F18" s="224">
        <v>8856</v>
      </c>
      <c r="G18" s="474"/>
      <c r="H18" s="457"/>
      <c r="I18" s="475">
        <v>8856</v>
      </c>
      <c r="J18" s="150"/>
    </row>
    <row r="19" spans="1:10" x14ac:dyDescent="0.3">
      <c r="A19" s="431">
        <v>11</v>
      </c>
      <c r="B19" s="473">
        <v>41106</v>
      </c>
      <c r="C19" s="232" t="s">
        <v>777</v>
      </c>
      <c r="D19" s="476" t="s">
        <v>778</v>
      </c>
      <c r="E19" s="228" t="s">
        <v>779</v>
      </c>
      <c r="F19" s="477">
        <v>442.96</v>
      </c>
      <c r="G19" s="478"/>
      <c r="H19" s="457"/>
      <c r="I19" s="475">
        <v>442.96</v>
      </c>
      <c r="J19" s="150"/>
    </row>
    <row r="20" spans="1:10" x14ac:dyDescent="0.3">
      <c r="A20" s="431">
        <v>12</v>
      </c>
      <c r="B20" s="473">
        <v>41116</v>
      </c>
      <c r="C20" s="232" t="s">
        <v>815</v>
      </c>
      <c r="D20" s="431">
        <v>42001014550</v>
      </c>
      <c r="E20" s="457" t="s">
        <v>779</v>
      </c>
      <c r="F20" s="431">
        <v>426.18</v>
      </c>
      <c r="G20" s="471"/>
      <c r="H20" s="457"/>
      <c r="I20" s="472">
        <v>426.18</v>
      </c>
      <c r="J20" s="150"/>
    </row>
    <row r="21" spans="1:10" x14ac:dyDescent="0.3">
      <c r="A21" s="471">
        <v>13</v>
      </c>
      <c r="B21" s="431" t="s">
        <v>816</v>
      </c>
      <c r="C21" s="457" t="s">
        <v>780</v>
      </c>
      <c r="D21" s="461" t="s">
        <v>781</v>
      </c>
      <c r="E21" s="457" t="s">
        <v>779</v>
      </c>
      <c r="F21" s="431">
        <v>1566.66</v>
      </c>
      <c r="G21" s="471"/>
      <c r="H21" s="457"/>
      <c r="I21" s="472">
        <v>1566.66</v>
      </c>
      <c r="J21" s="150"/>
    </row>
    <row r="22" spans="1:10" x14ac:dyDescent="0.3">
      <c r="A22" s="224">
        <v>15</v>
      </c>
      <c r="B22" s="431" t="s">
        <v>817</v>
      </c>
      <c r="C22" s="457" t="s">
        <v>818</v>
      </c>
      <c r="D22" s="461"/>
      <c r="E22" s="457" t="s">
        <v>779</v>
      </c>
      <c r="F22" s="431">
        <v>216.67</v>
      </c>
      <c r="G22" s="471"/>
      <c r="H22" s="457"/>
      <c r="I22" s="472">
        <v>216.67</v>
      </c>
      <c r="J22" s="150"/>
    </row>
    <row r="23" spans="1:10" x14ac:dyDescent="0.3">
      <c r="A23" s="224">
        <v>16</v>
      </c>
      <c r="B23" s="473" t="s">
        <v>819</v>
      </c>
      <c r="C23" s="457" t="s">
        <v>782</v>
      </c>
      <c r="D23" s="461" t="s">
        <v>783</v>
      </c>
      <c r="E23" s="457" t="s">
        <v>779</v>
      </c>
      <c r="F23" s="431">
        <v>359.83</v>
      </c>
      <c r="G23" s="471"/>
      <c r="H23" s="457"/>
      <c r="I23" s="472">
        <v>359.83</v>
      </c>
      <c r="J23" s="150"/>
    </row>
    <row r="24" spans="1:10" x14ac:dyDescent="0.3">
      <c r="A24" s="224">
        <v>17</v>
      </c>
      <c r="B24" s="431" t="s">
        <v>602</v>
      </c>
      <c r="C24" s="457" t="s">
        <v>784</v>
      </c>
      <c r="D24" s="461" t="s">
        <v>785</v>
      </c>
      <c r="E24" s="457" t="s">
        <v>822</v>
      </c>
      <c r="F24" s="431">
        <v>84</v>
      </c>
      <c r="G24" s="471"/>
      <c r="H24" s="457"/>
      <c r="I24" s="472">
        <v>84</v>
      </c>
      <c r="J24" s="150"/>
    </row>
    <row r="25" spans="1:10" x14ac:dyDescent="0.3">
      <c r="A25" s="224">
        <v>18</v>
      </c>
      <c r="B25" s="431" t="s">
        <v>602</v>
      </c>
      <c r="C25" s="457" t="s">
        <v>786</v>
      </c>
      <c r="D25" s="461" t="s">
        <v>787</v>
      </c>
      <c r="E25" s="457" t="s">
        <v>779</v>
      </c>
      <c r="F25" s="431">
        <v>1112.7</v>
      </c>
      <c r="G25" s="471"/>
      <c r="H25" s="457"/>
      <c r="I25" s="472">
        <v>1112.7</v>
      </c>
      <c r="J25" s="150"/>
    </row>
    <row r="26" spans="1:10" x14ac:dyDescent="0.3">
      <c r="A26" s="224">
        <v>19</v>
      </c>
      <c r="B26" s="473">
        <v>41160</v>
      </c>
      <c r="C26" s="457" t="s">
        <v>820</v>
      </c>
      <c r="D26" s="461" t="s">
        <v>788</v>
      </c>
      <c r="E26" s="457" t="s">
        <v>822</v>
      </c>
      <c r="F26" s="431">
        <v>344.03</v>
      </c>
      <c r="G26" s="471"/>
      <c r="H26" s="457"/>
      <c r="I26" s="472">
        <v>344.03</v>
      </c>
      <c r="J26" s="150"/>
    </row>
    <row r="27" spans="1:10" x14ac:dyDescent="0.3">
      <c r="A27" s="224">
        <v>20</v>
      </c>
      <c r="B27" s="473">
        <v>40914</v>
      </c>
      <c r="C27" s="229" t="s">
        <v>821</v>
      </c>
      <c r="D27" s="431">
        <v>218041107</v>
      </c>
      <c r="E27" s="457" t="s">
        <v>822</v>
      </c>
      <c r="F27" s="224">
        <v>133.33000000000001</v>
      </c>
      <c r="G27" s="474"/>
      <c r="H27" s="457"/>
      <c r="I27" s="475">
        <v>133.33000000000001</v>
      </c>
      <c r="J27" s="150"/>
    </row>
    <row r="28" spans="1:10" x14ac:dyDescent="0.3">
      <c r="A28" s="224">
        <v>21</v>
      </c>
      <c r="B28" s="431" t="s">
        <v>603</v>
      </c>
      <c r="C28" s="232" t="s">
        <v>789</v>
      </c>
      <c r="D28" s="461" t="s">
        <v>790</v>
      </c>
      <c r="E28" s="457" t="s">
        <v>822</v>
      </c>
      <c r="F28" s="477">
        <v>5.13</v>
      </c>
      <c r="G28" s="478"/>
      <c r="H28" s="457"/>
      <c r="I28" s="475">
        <v>5.13</v>
      </c>
      <c r="J28" s="150"/>
    </row>
    <row r="29" spans="1:10" x14ac:dyDescent="0.3">
      <c r="A29" s="224">
        <v>22</v>
      </c>
      <c r="B29" s="473">
        <v>41159</v>
      </c>
      <c r="C29" s="232" t="s">
        <v>791</v>
      </c>
      <c r="D29" s="476" t="s">
        <v>792</v>
      </c>
      <c r="E29" s="457" t="s">
        <v>822</v>
      </c>
      <c r="F29" s="477">
        <v>561.80999999999995</v>
      </c>
      <c r="G29" s="478"/>
      <c r="H29" s="457"/>
      <c r="I29" s="475">
        <v>561.80999999999995</v>
      </c>
      <c r="J29" s="150"/>
    </row>
    <row r="30" spans="1:10" x14ac:dyDescent="0.3">
      <c r="A30" s="431">
        <v>23</v>
      </c>
      <c r="B30" s="473">
        <v>41129</v>
      </c>
      <c r="C30" s="457" t="s">
        <v>793</v>
      </c>
      <c r="D30" s="431">
        <v>23001002557</v>
      </c>
      <c r="E30" s="457" t="s">
        <v>822</v>
      </c>
      <c r="F30" s="431">
        <v>223.93</v>
      </c>
      <c r="G30" s="471"/>
      <c r="H30" s="457"/>
      <c r="I30" s="472">
        <v>223.93</v>
      </c>
      <c r="J30" s="150"/>
    </row>
    <row r="31" spans="1:10" x14ac:dyDescent="0.3">
      <c r="A31" s="479">
        <v>24</v>
      </c>
      <c r="B31" s="460" t="s">
        <v>823</v>
      </c>
      <c r="C31" s="459" t="s">
        <v>794</v>
      </c>
      <c r="D31" s="461" t="s">
        <v>795</v>
      </c>
      <c r="E31" s="457" t="s">
        <v>822</v>
      </c>
      <c r="F31" s="460">
        <v>1660</v>
      </c>
      <c r="G31" s="480"/>
      <c r="H31" s="457"/>
      <c r="I31" s="481">
        <v>1600</v>
      </c>
      <c r="J31" s="150"/>
    </row>
    <row r="32" spans="1:10" x14ac:dyDescent="0.3">
      <c r="A32" s="431">
        <v>25</v>
      </c>
      <c r="B32" s="482">
        <v>40914</v>
      </c>
      <c r="C32" s="459" t="s">
        <v>796</v>
      </c>
      <c r="D32" s="461" t="s">
        <v>797</v>
      </c>
      <c r="E32" s="457" t="s">
        <v>822</v>
      </c>
      <c r="F32" s="460">
        <v>416.67</v>
      </c>
      <c r="G32" s="480"/>
      <c r="H32" s="457"/>
      <c r="I32" s="481">
        <v>416.67</v>
      </c>
      <c r="J32" s="150"/>
    </row>
    <row r="33" spans="1:12" x14ac:dyDescent="0.3">
      <c r="A33" s="460">
        <v>26</v>
      </c>
      <c r="B33" s="482">
        <v>41249</v>
      </c>
      <c r="C33" s="459" t="s">
        <v>798</v>
      </c>
      <c r="D33" s="461" t="s">
        <v>799</v>
      </c>
      <c r="E33" s="457" t="s">
        <v>822</v>
      </c>
      <c r="F33" s="460">
        <v>691.96</v>
      </c>
      <c r="G33" s="480"/>
      <c r="H33" s="457"/>
      <c r="I33" s="481">
        <v>691.96</v>
      </c>
      <c r="J33" s="150"/>
    </row>
    <row r="34" spans="1:12" x14ac:dyDescent="0.3">
      <c r="A34" s="460">
        <v>27</v>
      </c>
      <c r="B34" s="460" t="s">
        <v>824</v>
      </c>
      <c r="C34" s="459" t="s">
        <v>800</v>
      </c>
      <c r="D34" s="461" t="s">
        <v>801</v>
      </c>
      <c r="E34" s="457" t="s">
        <v>822</v>
      </c>
      <c r="F34" s="460">
        <v>415.18</v>
      </c>
      <c r="G34" s="480"/>
      <c r="H34" s="457"/>
      <c r="I34" s="481">
        <v>415.18</v>
      </c>
      <c r="J34" s="150"/>
    </row>
    <row r="35" spans="1:12" x14ac:dyDescent="0.3">
      <c r="A35" s="460">
        <v>28</v>
      </c>
      <c r="B35" s="482">
        <v>40945</v>
      </c>
      <c r="C35" s="459" t="s">
        <v>802</v>
      </c>
      <c r="D35" s="461" t="s">
        <v>803</v>
      </c>
      <c r="E35" s="457" t="s">
        <v>822</v>
      </c>
      <c r="F35" s="460">
        <v>97.21</v>
      </c>
      <c r="G35" s="480"/>
      <c r="H35" s="457"/>
      <c r="I35" s="481">
        <v>97.21</v>
      </c>
      <c r="J35" s="150"/>
    </row>
    <row r="36" spans="1:12" x14ac:dyDescent="0.3">
      <c r="A36" s="460">
        <v>29</v>
      </c>
      <c r="B36" s="460" t="s">
        <v>825</v>
      </c>
      <c r="C36" s="459" t="s">
        <v>804</v>
      </c>
      <c r="D36" s="460">
        <v>42001002750</v>
      </c>
      <c r="E36" s="457" t="s">
        <v>822</v>
      </c>
      <c r="F36" s="460">
        <v>416.66</v>
      </c>
      <c r="G36" s="480"/>
      <c r="H36" s="457"/>
      <c r="I36" s="481">
        <v>416.66</v>
      </c>
      <c r="J36" s="150"/>
    </row>
    <row r="37" spans="1:12" x14ac:dyDescent="0.3">
      <c r="A37" s="460">
        <v>30</v>
      </c>
      <c r="B37" s="482">
        <v>40974</v>
      </c>
      <c r="C37" s="459" t="s">
        <v>805</v>
      </c>
      <c r="D37" s="461" t="s">
        <v>806</v>
      </c>
      <c r="E37" s="457" t="s">
        <v>822</v>
      </c>
      <c r="F37" s="460">
        <v>589.54999999999995</v>
      </c>
      <c r="G37" s="480"/>
      <c r="H37" s="457"/>
      <c r="I37" s="481">
        <v>589.54999999999995</v>
      </c>
      <c r="J37" s="150"/>
    </row>
    <row r="38" spans="1:12" x14ac:dyDescent="0.3">
      <c r="A38" s="460">
        <v>31</v>
      </c>
      <c r="B38" s="460" t="s">
        <v>826</v>
      </c>
      <c r="C38" s="459" t="s">
        <v>807</v>
      </c>
      <c r="D38" s="461" t="s">
        <v>806</v>
      </c>
      <c r="E38" s="457" t="s">
        <v>822</v>
      </c>
      <c r="F38" s="460">
        <v>1037.5899999999999</v>
      </c>
      <c r="G38" s="480"/>
      <c r="H38" s="457"/>
      <c r="I38" s="481">
        <v>1037.5899999999999</v>
      </c>
      <c r="J38" s="150"/>
    </row>
    <row r="39" spans="1:12" x14ac:dyDescent="0.3">
      <c r="A39" s="460">
        <v>32</v>
      </c>
      <c r="B39" s="473" t="s">
        <v>808</v>
      </c>
      <c r="C39" s="457" t="s">
        <v>809</v>
      </c>
      <c r="D39" s="431"/>
      <c r="E39" s="457"/>
      <c r="F39" s="431"/>
      <c r="G39" s="471"/>
      <c r="H39" s="457"/>
      <c r="I39" s="472"/>
    </row>
    <row r="40" spans="1:12" x14ac:dyDescent="0.3">
      <c r="A40" s="460"/>
      <c r="B40" s="483"/>
      <c r="C40" s="229" t="s">
        <v>810</v>
      </c>
      <c r="D40" s="484" t="s">
        <v>811</v>
      </c>
      <c r="E40" s="228" t="s">
        <v>779</v>
      </c>
      <c r="F40" s="224">
        <v>83.33</v>
      </c>
      <c r="G40" s="474"/>
      <c r="H40" s="457"/>
      <c r="I40" s="475">
        <v>83.33</v>
      </c>
    </row>
    <row r="41" spans="1:12" x14ac:dyDescent="0.3">
      <c r="A41" s="460">
        <v>33</v>
      </c>
      <c r="B41" s="431"/>
      <c r="C41" s="457"/>
      <c r="D41" s="457" t="s">
        <v>812</v>
      </c>
      <c r="E41" s="457"/>
      <c r="F41" s="431">
        <v>1062.73</v>
      </c>
      <c r="G41" s="471"/>
      <c r="H41" s="457"/>
      <c r="I41" s="472">
        <v>1062.73</v>
      </c>
    </row>
    <row r="42" spans="1:12" x14ac:dyDescent="0.3">
      <c r="A42" s="460">
        <v>34</v>
      </c>
      <c r="B42" s="473">
        <v>40914</v>
      </c>
      <c r="C42" s="457" t="s">
        <v>827</v>
      </c>
      <c r="D42" s="457">
        <v>204891652</v>
      </c>
      <c r="E42" s="457"/>
      <c r="F42" s="431">
        <v>275</v>
      </c>
      <c r="G42" s="431"/>
      <c r="H42" s="431"/>
      <c r="I42" s="431">
        <v>275</v>
      </c>
    </row>
    <row r="43" spans="1:12" x14ac:dyDescent="0.3">
      <c r="A43" s="460">
        <v>35</v>
      </c>
      <c r="B43" s="473" t="s">
        <v>883</v>
      </c>
      <c r="C43" s="457" t="s">
        <v>828</v>
      </c>
      <c r="D43" s="485" t="s">
        <v>829</v>
      </c>
      <c r="E43" s="457" t="s">
        <v>779</v>
      </c>
      <c r="F43" s="431">
        <v>394.72</v>
      </c>
      <c r="G43" s="431"/>
      <c r="H43" s="431"/>
      <c r="I43" s="431">
        <v>394.22</v>
      </c>
      <c r="J43" s="234"/>
      <c r="K43" s="234"/>
      <c r="L43" s="234"/>
    </row>
    <row r="44" spans="1:12" x14ac:dyDescent="0.3">
      <c r="A44" s="460">
        <v>36</v>
      </c>
      <c r="B44" s="473">
        <v>41188</v>
      </c>
      <c r="C44" s="229" t="s">
        <v>830</v>
      </c>
      <c r="D44" s="485" t="s">
        <v>831</v>
      </c>
      <c r="E44" s="457" t="s">
        <v>779</v>
      </c>
      <c r="F44" s="431">
        <v>83.33</v>
      </c>
      <c r="G44" s="431"/>
      <c r="H44" s="431"/>
      <c r="I44" s="431">
        <f>F44</f>
        <v>83.33</v>
      </c>
      <c r="J44" s="234"/>
      <c r="K44" s="234"/>
      <c r="L44" s="234"/>
    </row>
    <row r="45" spans="1:12" x14ac:dyDescent="0.3">
      <c r="A45" s="460">
        <v>37</v>
      </c>
      <c r="B45" s="473" t="s">
        <v>884</v>
      </c>
      <c r="C45" s="457" t="s">
        <v>832</v>
      </c>
      <c r="D45" s="431">
        <v>28001002247</v>
      </c>
      <c r="E45" s="457" t="s">
        <v>779</v>
      </c>
      <c r="F45" s="431">
        <v>448.57</v>
      </c>
      <c r="G45" s="431"/>
      <c r="H45" s="431"/>
      <c r="I45" s="431">
        <f t="shared" ref="I45:I100" si="0">F45</f>
        <v>448.57</v>
      </c>
      <c r="J45" s="234"/>
      <c r="K45" s="234"/>
      <c r="L45" s="234"/>
    </row>
    <row r="46" spans="1:12" x14ac:dyDescent="0.3">
      <c r="A46" s="460">
        <v>38</v>
      </c>
      <c r="B46" s="473">
        <v>40914</v>
      </c>
      <c r="C46" s="457" t="s">
        <v>833</v>
      </c>
      <c r="D46" s="431">
        <v>218041107</v>
      </c>
      <c r="E46" s="457" t="s">
        <v>779</v>
      </c>
      <c r="F46" s="431">
        <v>200</v>
      </c>
      <c r="G46" s="431"/>
      <c r="H46" s="431"/>
      <c r="I46" s="431">
        <f t="shared" si="0"/>
        <v>200</v>
      </c>
      <c r="J46" s="234"/>
      <c r="K46" s="234"/>
      <c r="L46" s="234"/>
    </row>
    <row r="47" spans="1:12" s="234" customFormat="1" x14ac:dyDescent="0.3">
      <c r="A47" s="460">
        <v>39</v>
      </c>
      <c r="B47" s="473" t="s">
        <v>824</v>
      </c>
      <c r="C47" s="459" t="s">
        <v>834</v>
      </c>
      <c r="D47" s="460">
        <v>57001009984</v>
      </c>
      <c r="E47" s="457" t="s">
        <v>779</v>
      </c>
      <c r="F47" s="431">
        <v>415.18</v>
      </c>
      <c r="G47" s="431"/>
      <c r="H47" s="431"/>
      <c r="I47" s="431">
        <f t="shared" si="0"/>
        <v>415.18</v>
      </c>
    </row>
    <row r="48" spans="1:12" s="234" customFormat="1" x14ac:dyDescent="0.3">
      <c r="A48" s="460">
        <v>40</v>
      </c>
      <c r="B48" s="473" t="s">
        <v>885</v>
      </c>
      <c r="C48" s="459" t="s">
        <v>835</v>
      </c>
      <c r="D48" s="461" t="s">
        <v>836</v>
      </c>
      <c r="E48" s="457" t="s">
        <v>779</v>
      </c>
      <c r="F48" s="431">
        <v>208.14</v>
      </c>
      <c r="G48" s="431"/>
      <c r="H48" s="431"/>
      <c r="I48" s="431">
        <f t="shared" si="0"/>
        <v>208.14</v>
      </c>
    </row>
    <row r="49" spans="1:9" s="234" customFormat="1" x14ac:dyDescent="0.3">
      <c r="A49" s="460">
        <v>41</v>
      </c>
      <c r="B49" s="473">
        <v>41158</v>
      </c>
      <c r="C49" s="459" t="s">
        <v>837</v>
      </c>
      <c r="D49" s="460">
        <v>24001004130</v>
      </c>
      <c r="E49" s="457" t="s">
        <v>779</v>
      </c>
      <c r="F49" s="431">
        <v>121.66</v>
      </c>
      <c r="G49" s="431"/>
      <c r="H49" s="431"/>
      <c r="I49" s="431">
        <f t="shared" si="0"/>
        <v>121.66</v>
      </c>
    </row>
    <row r="50" spans="1:9" s="234" customFormat="1" x14ac:dyDescent="0.3">
      <c r="A50" s="460">
        <v>42</v>
      </c>
      <c r="B50" s="473">
        <v>40914</v>
      </c>
      <c r="C50" s="459" t="s">
        <v>838</v>
      </c>
      <c r="D50" s="461" t="s">
        <v>839</v>
      </c>
      <c r="E50" s="457" t="s">
        <v>779</v>
      </c>
      <c r="F50" s="431">
        <v>208.32</v>
      </c>
      <c r="G50" s="431"/>
      <c r="H50" s="431"/>
      <c r="I50" s="431">
        <f t="shared" si="0"/>
        <v>208.32</v>
      </c>
    </row>
    <row r="51" spans="1:9" s="234" customFormat="1" x14ac:dyDescent="0.3">
      <c r="A51" s="460">
        <v>43</v>
      </c>
      <c r="B51" s="473" t="s">
        <v>886</v>
      </c>
      <c r="C51" s="459" t="s">
        <v>840</v>
      </c>
      <c r="D51" s="461" t="s">
        <v>841</v>
      </c>
      <c r="E51" s="457" t="s">
        <v>779</v>
      </c>
      <c r="F51" s="431">
        <v>104.2</v>
      </c>
      <c r="G51" s="431"/>
      <c r="H51" s="431"/>
      <c r="I51" s="431">
        <f t="shared" si="0"/>
        <v>104.2</v>
      </c>
    </row>
    <row r="52" spans="1:9" x14ac:dyDescent="0.3">
      <c r="A52" s="460">
        <v>44</v>
      </c>
      <c r="B52" s="473">
        <v>41096</v>
      </c>
      <c r="C52" s="459" t="s">
        <v>882</v>
      </c>
      <c r="D52" s="461" t="s">
        <v>842</v>
      </c>
      <c r="E52" s="457" t="s">
        <v>779</v>
      </c>
      <c r="F52" s="431">
        <v>276.77999999999997</v>
      </c>
      <c r="G52" s="431"/>
      <c r="H52" s="431"/>
      <c r="I52" s="431">
        <f t="shared" si="0"/>
        <v>276.77999999999997</v>
      </c>
    </row>
    <row r="53" spans="1:9" x14ac:dyDescent="0.3">
      <c r="A53" s="460">
        <v>45</v>
      </c>
      <c r="B53" s="473" t="s">
        <v>824</v>
      </c>
      <c r="C53" s="459" t="s">
        <v>843</v>
      </c>
      <c r="D53" s="461" t="s">
        <v>844</v>
      </c>
      <c r="E53" s="457" t="s">
        <v>779</v>
      </c>
      <c r="F53" s="431">
        <v>166.71</v>
      </c>
      <c r="G53" s="431"/>
      <c r="H53" s="431"/>
      <c r="I53" s="431">
        <f t="shared" si="0"/>
        <v>166.71</v>
      </c>
    </row>
    <row r="54" spans="1:9" x14ac:dyDescent="0.3">
      <c r="A54" s="460">
        <v>46</v>
      </c>
      <c r="B54" s="473">
        <v>40914</v>
      </c>
      <c r="C54" s="459" t="s">
        <v>845</v>
      </c>
      <c r="D54" s="461" t="s">
        <v>846</v>
      </c>
      <c r="E54" s="457" t="s">
        <v>779</v>
      </c>
      <c r="F54" s="431">
        <v>140.83000000000001</v>
      </c>
      <c r="G54" s="431"/>
      <c r="H54" s="431"/>
      <c r="I54" s="431">
        <f t="shared" si="0"/>
        <v>140.83000000000001</v>
      </c>
    </row>
    <row r="55" spans="1:9" x14ac:dyDescent="0.3">
      <c r="A55" s="460">
        <v>47</v>
      </c>
      <c r="B55" s="473" t="s">
        <v>531</v>
      </c>
      <c r="C55" s="459" t="s">
        <v>847</v>
      </c>
      <c r="D55" s="461" t="s">
        <v>848</v>
      </c>
      <c r="E55" s="457" t="s">
        <v>779</v>
      </c>
      <c r="F55" s="431">
        <v>208.33</v>
      </c>
      <c r="G55" s="431"/>
      <c r="H55" s="431"/>
      <c r="I55" s="431">
        <f t="shared" si="0"/>
        <v>208.33</v>
      </c>
    </row>
    <row r="56" spans="1:9" x14ac:dyDescent="0.3">
      <c r="A56" s="460">
        <v>48</v>
      </c>
      <c r="B56" s="473">
        <v>41066</v>
      </c>
      <c r="C56" s="459" t="s">
        <v>849</v>
      </c>
      <c r="D56" s="461" t="s">
        <v>850</v>
      </c>
      <c r="E56" s="457" t="s">
        <v>779</v>
      </c>
      <c r="F56" s="431">
        <v>72.83</v>
      </c>
      <c r="G56" s="431"/>
      <c r="H56" s="431"/>
      <c r="I56" s="431">
        <f t="shared" si="0"/>
        <v>72.83</v>
      </c>
    </row>
    <row r="57" spans="1:9" x14ac:dyDescent="0.3">
      <c r="A57" s="460">
        <v>49</v>
      </c>
      <c r="B57" s="473" t="s">
        <v>886</v>
      </c>
      <c r="C57" s="459" t="s">
        <v>851</v>
      </c>
      <c r="D57" s="461" t="s">
        <v>852</v>
      </c>
      <c r="E57" s="457" t="s">
        <v>779</v>
      </c>
      <c r="F57" s="431">
        <v>221.34</v>
      </c>
      <c r="G57" s="431"/>
      <c r="H57" s="431"/>
      <c r="I57" s="431">
        <f t="shared" si="0"/>
        <v>221.34</v>
      </c>
    </row>
    <row r="58" spans="1:9" x14ac:dyDescent="0.3">
      <c r="A58" s="460">
        <v>50</v>
      </c>
      <c r="B58" s="473">
        <v>40945</v>
      </c>
      <c r="C58" s="459" t="s">
        <v>853</v>
      </c>
      <c r="D58" s="461" t="s">
        <v>854</v>
      </c>
      <c r="E58" s="457" t="s">
        <v>779</v>
      </c>
      <c r="F58" s="431">
        <v>133.33000000000001</v>
      </c>
      <c r="G58" s="431"/>
      <c r="H58" s="431"/>
      <c r="I58" s="431">
        <f t="shared" si="0"/>
        <v>133.33000000000001</v>
      </c>
    </row>
    <row r="59" spans="1:9" x14ac:dyDescent="0.3">
      <c r="A59" s="460">
        <v>51</v>
      </c>
      <c r="B59" s="473" t="s">
        <v>886</v>
      </c>
      <c r="C59" s="459" t="s">
        <v>855</v>
      </c>
      <c r="D59" s="461" t="s">
        <v>856</v>
      </c>
      <c r="E59" s="457" t="s">
        <v>779</v>
      </c>
      <c r="F59" s="431">
        <v>133.33000000000001</v>
      </c>
      <c r="G59" s="431"/>
      <c r="H59" s="431"/>
      <c r="I59" s="431">
        <f t="shared" si="0"/>
        <v>133.33000000000001</v>
      </c>
    </row>
    <row r="60" spans="1:9" x14ac:dyDescent="0.3">
      <c r="A60" s="460">
        <v>52</v>
      </c>
      <c r="B60" s="473">
        <v>41190</v>
      </c>
      <c r="C60" s="459" t="s">
        <v>857</v>
      </c>
      <c r="D60" s="486">
        <v>61004006060</v>
      </c>
      <c r="E60" s="457" t="s">
        <v>779</v>
      </c>
      <c r="F60" s="431">
        <v>2.15</v>
      </c>
      <c r="G60" s="431"/>
      <c r="H60" s="431"/>
      <c r="I60" s="431">
        <f t="shared" si="0"/>
        <v>2.15</v>
      </c>
    </row>
    <row r="61" spans="1:9" x14ac:dyDescent="0.3">
      <c r="A61" s="460">
        <v>53</v>
      </c>
      <c r="B61" s="473" t="s">
        <v>825</v>
      </c>
      <c r="C61" s="459" t="s">
        <v>858</v>
      </c>
      <c r="D61" s="461" t="s">
        <v>859</v>
      </c>
      <c r="E61" s="457" t="s">
        <v>779</v>
      </c>
      <c r="F61" s="431">
        <v>415.16</v>
      </c>
      <c r="G61" s="431"/>
      <c r="H61" s="431"/>
      <c r="I61" s="431">
        <f t="shared" si="0"/>
        <v>415.16</v>
      </c>
    </row>
    <row r="62" spans="1:9" x14ac:dyDescent="0.3">
      <c r="A62" s="460">
        <v>54</v>
      </c>
      <c r="B62" s="473">
        <v>40914</v>
      </c>
      <c r="C62" s="459" t="s">
        <v>860</v>
      </c>
      <c r="D62" s="461" t="s">
        <v>861</v>
      </c>
      <c r="E62" s="457" t="s">
        <v>779</v>
      </c>
      <c r="F62" s="431">
        <v>1591.5</v>
      </c>
      <c r="G62" s="431"/>
      <c r="H62" s="431"/>
      <c r="I62" s="431">
        <f t="shared" si="0"/>
        <v>1591.5</v>
      </c>
    </row>
    <row r="63" spans="1:9" x14ac:dyDescent="0.3">
      <c r="A63" s="460">
        <v>55</v>
      </c>
      <c r="B63" s="473" t="s">
        <v>531</v>
      </c>
      <c r="C63" s="459" t="s">
        <v>862</v>
      </c>
      <c r="D63" s="486">
        <v>26001002376</v>
      </c>
      <c r="E63" s="457" t="s">
        <v>779</v>
      </c>
      <c r="F63" s="431">
        <v>116.68</v>
      </c>
      <c r="G63" s="431"/>
      <c r="H63" s="431"/>
      <c r="I63" s="431">
        <f t="shared" si="0"/>
        <v>116.68</v>
      </c>
    </row>
    <row r="64" spans="1:9" x14ac:dyDescent="0.3">
      <c r="A64" s="460">
        <v>56</v>
      </c>
      <c r="B64" s="473">
        <v>41158</v>
      </c>
      <c r="C64" s="459" t="s">
        <v>887</v>
      </c>
      <c r="D64" s="461" t="s">
        <v>865</v>
      </c>
      <c r="E64" s="457" t="s">
        <v>779</v>
      </c>
      <c r="F64" s="431">
        <v>166.67</v>
      </c>
      <c r="G64" s="431"/>
      <c r="H64" s="431"/>
      <c r="I64" s="431">
        <f t="shared" si="0"/>
        <v>166.67</v>
      </c>
    </row>
    <row r="65" spans="1:9" x14ac:dyDescent="0.3">
      <c r="A65" s="460">
        <v>57</v>
      </c>
      <c r="B65" s="473">
        <v>40914</v>
      </c>
      <c r="C65" s="459" t="s">
        <v>863</v>
      </c>
      <c r="D65" s="461" t="s">
        <v>864</v>
      </c>
      <c r="E65" s="457" t="s">
        <v>779</v>
      </c>
      <c r="F65" s="431">
        <v>104.17</v>
      </c>
      <c r="G65" s="431"/>
      <c r="H65" s="431"/>
      <c r="I65" s="431">
        <f t="shared" si="0"/>
        <v>104.17</v>
      </c>
    </row>
    <row r="66" spans="1:9" x14ac:dyDescent="0.3">
      <c r="A66" s="460">
        <v>58</v>
      </c>
      <c r="B66" s="473">
        <v>41066</v>
      </c>
      <c r="C66" s="459" t="s">
        <v>866</v>
      </c>
      <c r="D66" s="486">
        <v>17001000134</v>
      </c>
      <c r="E66" s="457" t="s">
        <v>779</v>
      </c>
      <c r="F66" s="431">
        <v>145.83000000000001</v>
      </c>
      <c r="G66" s="431"/>
      <c r="H66" s="431"/>
      <c r="I66" s="431">
        <f t="shared" si="0"/>
        <v>145.83000000000001</v>
      </c>
    </row>
    <row r="67" spans="1:9" x14ac:dyDescent="0.3">
      <c r="A67" s="460">
        <v>59</v>
      </c>
      <c r="B67" s="473">
        <v>40974</v>
      </c>
      <c r="C67" s="459" t="s">
        <v>867</v>
      </c>
      <c r="D67" s="461" t="s">
        <v>868</v>
      </c>
      <c r="E67" s="457" t="s">
        <v>779</v>
      </c>
      <c r="F67" s="431">
        <v>104.17</v>
      </c>
      <c r="G67" s="431"/>
      <c r="H67" s="431"/>
      <c r="I67" s="431">
        <f t="shared" si="0"/>
        <v>104.17</v>
      </c>
    </row>
    <row r="68" spans="1:9" x14ac:dyDescent="0.3">
      <c r="A68" s="460">
        <v>60</v>
      </c>
      <c r="B68" s="473">
        <v>40914</v>
      </c>
      <c r="C68" s="459" t="s">
        <v>869</v>
      </c>
      <c r="D68" s="461" t="s">
        <v>870</v>
      </c>
      <c r="E68" s="457" t="s">
        <v>779</v>
      </c>
      <c r="F68" s="431">
        <v>145.83000000000001</v>
      </c>
      <c r="G68" s="431"/>
      <c r="H68" s="431"/>
      <c r="I68" s="431">
        <f t="shared" si="0"/>
        <v>145.83000000000001</v>
      </c>
    </row>
    <row r="69" spans="1:9" x14ac:dyDescent="0.3">
      <c r="A69" s="460">
        <v>61</v>
      </c>
      <c r="B69" s="473">
        <v>40945</v>
      </c>
      <c r="C69" s="459" t="s">
        <v>871</v>
      </c>
      <c r="D69" s="461" t="s">
        <v>872</v>
      </c>
      <c r="E69" s="457" t="s">
        <v>779</v>
      </c>
      <c r="F69" s="431">
        <v>66.67</v>
      </c>
      <c r="G69" s="431"/>
      <c r="H69" s="431"/>
      <c r="I69" s="431">
        <f t="shared" si="0"/>
        <v>66.67</v>
      </c>
    </row>
    <row r="70" spans="1:9" x14ac:dyDescent="0.3">
      <c r="A70" s="460">
        <v>62</v>
      </c>
      <c r="B70" s="473" t="s">
        <v>825</v>
      </c>
      <c r="C70" s="459" t="s">
        <v>873</v>
      </c>
      <c r="D70" s="461" t="s">
        <v>874</v>
      </c>
      <c r="E70" s="457" t="s">
        <v>779</v>
      </c>
      <c r="F70" s="431">
        <v>276.81</v>
      </c>
      <c r="G70" s="431"/>
      <c r="H70" s="431"/>
      <c r="I70" s="431">
        <f t="shared" si="0"/>
        <v>276.81</v>
      </c>
    </row>
    <row r="71" spans="1:9" x14ac:dyDescent="0.3">
      <c r="A71" s="460">
        <v>63</v>
      </c>
      <c r="B71" s="473" t="s">
        <v>826</v>
      </c>
      <c r="C71" s="459" t="s">
        <v>875</v>
      </c>
      <c r="D71" s="461" t="s">
        <v>876</v>
      </c>
      <c r="E71" s="457" t="s">
        <v>779</v>
      </c>
      <c r="F71" s="431">
        <v>104.17</v>
      </c>
      <c r="G71" s="431"/>
      <c r="H71" s="431"/>
      <c r="I71" s="431">
        <f t="shared" si="0"/>
        <v>104.17</v>
      </c>
    </row>
    <row r="72" spans="1:9" x14ac:dyDescent="0.3">
      <c r="A72" s="460">
        <v>64</v>
      </c>
      <c r="B72" s="473">
        <v>41219</v>
      </c>
      <c r="C72" s="459" t="s">
        <v>877</v>
      </c>
      <c r="D72" s="460">
        <v>54001031206</v>
      </c>
      <c r="E72" s="457" t="s">
        <v>779</v>
      </c>
      <c r="F72" s="431">
        <v>156.66999999999999</v>
      </c>
      <c r="G72" s="431"/>
      <c r="H72" s="431"/>
      <c r="I72" s="431">
        <f t="shared" si="0"/>
        <v>156.66999999999999</v>
      </c>
    </row>
    <row r="73" spans="1:9" x14ac:dyDescent="0.3">
      <c r="A73" s="460">
        <v>65</v>
      </c>
      <c r="B73" s="473" t="s">
        <v>888</v>
      </c>
      <c r="C73" s="459" t="s">
        <v>878</v>
      </c>
      <c r="D73" s="461" t="s">
        <v>879</v>
      </c>
      <c r="E73" s="457" t="s">
        <v>779</v>
      </c>
      <c r="F73" s="431">
        <v>62.5</v>
      </c>
      <c r="G73" s="431"/>
      <c r="H73" s="431"/>
      <c r="I73" s="431">
        <f t="shared" si="0"/>
        <v>62.5</v>
      </c>
    </row>
    <row r="74" spans="1:9" x14ac:dyDescent="0.3">
      <c r="A74" s="460">
        <v>66</v>
      </c>
      <c r="B74" s="473" t="s">
        <v>889</v>
      </c>
      <c r="C74" s="459" t="s">
        <v>880</v>
      </c>
      <c r="D74" s="460">
        <v>15001002399</v>
      </c>
      <c r="E74" s="457" t="s">
        <v>779</v>
      </c>
      <c r="F74" s="431">
        <v>104.16</v>
      </c>
      <c r="G74" s="431"/>
      <c r="H74" s="431"/>
      <c r="I74" s="431">
        <f t="shared" si="0"/>
        <v>104.16</v>
      </c>
    </row>
    <row r="75" spans="1:9" x14ac:dyDescent="0.3">
      <c r="A75" s="460">
        <v>67</v>
      </c>
      <c r="B75" s="473">
        <v>40914</v>
      </c>
      <c r="C75" s="459" t="s">
        <v>881</v>
      </c>
      <c r="D75" s="460">
        <v>62005023736</v>
      </c>
      <c r="E75" s="457" t="s">
        <v>779</v>
      </c>
      <c r="F75" s="431">
        <v>416.67</v>
      </c>
      <c r="G75" s="431"/>
      <c r="H75" s="431"/>
      <c r="I75" s="431">
        <f t="shared" si="0"/>
        <v>416.67</v>
      </c>
    </row>
    <row r="76" spans="1:9" x14ac:dyDescent="0.3">
      <c r="A76" s="460">
        <v>68</v>
      </c>
      <c r="B76" s="473">
        <v>41066</v>
      </c>
      <c r="C76" s="459" t="s">
        <v>890</v>
      </c>
      <c r="D76" s="460">
        <v>18001001854</v>
      </c>
      <c r="E76" s="457" t="s">
        <v>779</v>
      </c>
      <c r="F76" s="460">
        <v>375</v>
      </c>
      <c r="G76" s="431"/>
      <c r="H76" s="431"/>
      <c r="I76" s="431">
        <f t="shared" si="0"/>
        <v>375</v>
      </c>
    </row>
    <row r="77" spans="1:9" x14ac:dyDescent="0.3">
      <c r="A77" s="460">
        <v>69</v>
      </c>
      <c r="B77" s="473">
        <v>40974</v>
      </c>
      <c r="C77" s="459" t="s">
        <v>891</v>
      </c>
      <c r="D77" s="460">
        <v>61009005342</v>
      </c>
      <c r="E77" s="457" t="s">
        <v>779</v>
      </c>
      <c r="F77" s="460">
        <v>133.33000000000001</v>
      </c>
      <c r="G77" s="431"/>
      <c r="H77" s="431"/>
      <c r="I77" s="431">
        <f t="shared" si="0"/>
        <v>133.33000000000001</v>
      </c>
    </row>
    <row r="78" spans="1:9" x14ac:dyDescent="0.3">
      <c r="A78" s="460">
        <v>70</v>
      </c>
      <c r="B78" s="473">
        <v>40945</v>
      </c>
      <c r="C78" s="459" t="s">
        <v>892</v>
      </c>
      <c r="D78" s="461" t="s">
        <v>893</v>
      </c>
      <c r="E78" s="457" t="s">
        <v>779</v>
      </c>
      <c r="F78" s="460">
        <v>83.33</v>
      </c>
      <c r="G78" s="431"/>
      <c r="H78" s="431"/>
      <c r="I78" s="431">
        <f t="shared" si="0"/>
        <v>83.33</v>
      </c>
    </row>
    <row r="79" spans="1:9" x14ac:dyDescent="0.3">
      <c r="A79" s="460">
        <v>71</v>
      </c>
      <c r="B79" s="473">
        <v>41005</v>
      </c>
      <c r="C79" s="459" t="s">
        <v>896</v>
      </c>
      <c r="D79" s="461" t="s">
        <v>897</v>
      </c>
      <c r="E79" s="457" t="s">
        <v>779</v>
      </c>
      <c r="F79" s="460">
        <v>125</v>
      </c>
      <c r="G79" s="431"/>
      <c r="H79" s="431"/>
      <c r="I79" s="431">
        <f t="shared" si="0"/>
        <v>125</v>
      </c>
    </row>
    <row r="80" spans="1:9" x14ac:dyDescent="0.3">
      <c r="A80" s="460">
        <v>72</v>
      </c>
      <c r="B80" s="473" t="s">
        <v>826</v>
      </c>
      <c r="C80" s="459" t="s">
        <v>894</v>
      </c>
      <c r="D80" s="461" t="s">
        <v>895</v>
      </c>
      <c r="E80" s="457" t="s">
        <v>779</v>
      </c>
      <c r="F80" s="460">
        <v>52.5</v>
      </c>
      <c r="G80" s="431"/>
      <c r="H80" s="431"/>
      <c r="I80" s="431">
        <f t="shared" si="0"/>
        <v>52.5</v>
      </c>
    </row>
    <row r="81" spans="1:9" x14ac:dyDescent="0.3">
      <c r="A81" s="460">
        <v>73</v>
      </c>
      <c r="B81" s="473" t="s">
        <v>563</v>
      </c>
      <c r="C81" s="459" t="s">
        <v>916</v>
      </c>
      <c r="D81" s="487" t="s">
        <v>925</v>
      </c>
      <c r="E81" s="457" t="s">
        <v>779</v>
      </c>
      <c r="F81" s="460">
        <v>5.51</v>
      </c>
      <c r="G81" s="431"/>
      <c r="H81" s="431"/>
      <c r="I81" s="431">
        <f t="shared" si="0"/>
        <v>5.51</v>
      </c>
    </row>
    <row r="82" spans="1:9" x14ac:dyDescent="0.3">
      <c r="A82" s="460">
        <v>74</v>
      </c>
      <c r="B82" s="473">
        <v>41005</v>
      </c>
      <c r="C82" s="459" t="s">
        <v>898</v>
      </c>
      <c r="D82" s="461" t="s">
        <v>899</v>
      </c>
      <c r="E82" s="457" t="s">
        <v>779</v>
      </c>
      <c r="F82" s="460">
        <v>50</v>
      </c>
      <c r="G82" s="431"/>
      <c r="H82" s="431"/>
      <c r="I82" s="431">
        <f t="shared" si="0"/>
        <v>50</v>
      </c>
    </row>
    <row r="83" spans="1:9" x14ac:dyDescent="0.3">
      <c r="A83" s="460">
        <v>75</v>
      </c>
      <c r="B83" s="473" t="s">
        <v>922</v>
      </c>
      <c r="C83" s="459" t="s">
        <v>900</v>
      </c>
      <c r="D83" s="461" t="s">
        <v>901</v>
      </c>
      <c r="E83" s="457" t="s">
        <v>779</v>
      </c>
      <c r="F83" s="460">
        <v>1037.94</v>
      </c>
      <c r="G83" s="431"/>
      <c r="H83" s="431"/>
      <c r="I83" s="431">
        <f t="shared" si="0"/>
        <v>1037.94</v>
      </c>
    </row>
    <row r="84" spans="1:9" x14ac:dyDescent="0.3">
      <c r="A84" s="460">
        <v>76</v>
      </c>
      <c r="B84" s="473">
        <v>40914</v>
      </c>
      <c r="C84" s="459" t="s">
        <v>902</v>
      </c>
      <c r="D84" s="461" t="s">
        <v>903</v>
      </c>
      <c r="E84" s="457" t="s">
        <v>779</v>
      </c>
      <c r="F84" s="460">
        <v>104.17</v>
      </c>
      <c r="G84" s="431"/>
      <c r="H84" s="431"/>
      <c r="I84" s="431">
        <f t="shared" si="0"/>
        <v>104.17</v>
      </c>
    </row>
    <row r="85" spans="1:9" x14ac:dyDescent="0.3">
      <c r="A85" s="460">
        <v>77</v>
      </c>
      <c r="B85" s="473">
        <v>41188</v>
      </c>
      <c r="C85" s="459" t="s">
        <v>904</v>
      </c>
      <c r="D85" s="461" t="s">
        <v>905</v>
      </c>
      <c r="E85" s="457" t="s">
        <v>779</v>
      </c>
      <c r="F85" s="460">
        <v>375</v>
      </c>
      <c r="G85" s="431"/>
      <c r="H85" s="431"/>
      <c r="I85" s="431">
        <f t="shared" si="0"/>
        <v>375</v>
      </c>
    </row>
    <row r="86" spans="1:9" x14ac:dyDescent="0.3">
      <c r="A86" s="460">
        <v>78</v>
      </c>
      <c r="B86" s="473" t="s">
        <v>886</v>
      </c>
      <c r="C86" s="459" t="s">
        <v>906</v>
      </c>
      <c r="D86" s="461" t="s">
        <v>907</v>
      </c>
      <c r="E86" s="457" t="s">
        <v>779</v>
      </c>
      <c r="F86" s="460">
        <v>208.33</v>
      </c>
      <c r="G86" s="431"/>
      <c r="H86" s="431"/>
      <c r="I86" s="431">
        <f t="shared" si="0"/>
        <v>208.33</v>
      </c>
    </row>
    <row r="87" spans="1:9" x14ac:dyDescent="0.3">
      <c r="A87" s="460">
        <v>79</v>
      </c>
      <c r="B87" s="473" t="s">
        <v>923</v>
      </c>
      <c r="C87" s="459" t="s">
        <v>908</v>
      </c>
      <c r="D87" s="461" t="s">
        <v>909</v>
      </c>
      <c r="E87" s="457" t="s">
        <v>779</v>
      </c>
      <c r="F87" s="460">
        <v>62.5</v>
      </c>
      <c r="G87" s="431"/>
      <c r="H87" s="431"/>
      <c r="I87" s="431">
        <f t="shared" si="0"/>
        <v>62.5</v>
      </c>
    </row>
    <row r="88" spans="1:9" x14ac:dyDescent="0.3">
      <c r="A88" s="460">
        <v>80</v>
      </c>
      <c r="B88" s="473">
        <v>40914</v>
      </c>
      <c r="C88" s="459" t="s">
        <v>910</v>
      </c>
      <c r="D88" s="460">
        <v>19001038925</v>
      </c>
      <c r="E88" s="457" t="s">
        <v>779</v>
      </c>
      <c r="F88" s="460">
        <v>104.17</v>
      </c>
      <c r="G88" s="431"/>
      <c r="H88" s="431"/>
      <c r="I88" s="431">
        <f t="shared" si="0"/>
        <v>104.17</v>
      </c>
    </row>
    <row r="89" spans="1:9" x14ac:dyDescent="0.3">
      <c r="A89" s="460">
        <v>81</v>
      </c>
      <c r="B89" s="473">
        <v>40915</v>
      </c>
      <c r="C89" s="459" t="s">
        <v>911</v>
      </c>
      <c r="D89" s="460">
        <v>12001017877</v>
      </c>
      <c r="E89" s="457" t="s">
        <v>779</v>
      </c>
      <c r="F89" s="460">
        <v>415.18</v>
      </c>
      <c r="G89" s="431"/>
      <c r="H89" s="431"/>
      <c r="I89" s="431">
        <f t="shared" si="0"/>
        <v>415.18</v>
      </c>
    </row>
    <row r="90" spans="1:9" x14ac:dyDescent="0.3">
      <c r="A90" s="460">
        <v>82</v>
      </c>
      <c r="B90" s="473" t="s">
        <v>531</v>
      </c>
      <c r="C90" s="459" t="s">
        <v>912</v>
      </c>
      <c r="D90" s="460">
        <v>22001001578</v>
      </c>
      <c r="E90" s="457" t="s">
        <v>779</v>
      </c>
      <c r="F90" s="460">
        <v>270.83</v>
      </c>
      <c r="G90" s="431"/>
      <c r="H90" s="431"/>
      <c r="I90" s="431">
        <f t="shared" si="0"/>
        <v>270.83</v>
      </c>
    </row>
    <row r="91" spans="1:9" x14ac:dyDescent="0.3">
      <c r="A91" s="460">
        <v>83</v>
      </c>
      <c r="B91" s="473">
        <v>41096</v>
      </c>
      <c r="C91" s="459" t="s">
        <v>913</v>
      </c>
      <c r="D91" s="460">
        <v>24001022727</v>
      </c>
      <c r="E91" s="457" t="s">
        <v>779</v>
      </c>
      <c r="F91" s="460">
        <v>104.18</v>
      </c>
      <c r="G91" s="431"/>
      <c r="H91" s="431"/>
      <c r="I91" s="431">
        <f t="shared" si="0"/>
        <v>104.18</v>
      </c>
    </row>
    <row r="92" spans="1:9" x14ac:dyDescent="0.3">
      <c r="A92" s="460">
        <v>84</v>
      </c>
      <c r="B92" s="473">
        <v>41250</v>
      </c>
      <c r="C92" s="459" t="s">
        <v>915</v>
      </c>
      <c r="D92" s="461" t="s">
        <v>914</v>
      </c>
      <c r="E92" s="457" t="s">
        <v>779</v>
      </c>
      <c r="F92" s="460">
        <v>5.13</v>
      </c>
      <c r="G92" s="431"/>
      <c r="H92" s="431"/>
      <c r="I92" s="431">
        <f t="shared" si="0"/>
        <v>5.13</v>
      </c>
    </row>
    <row r="93" spans="1:9" x14ac:dyDescent="0.3">
      <c r="A93" s="460">
        <v>85</v>
      </c>
      <c r="B93" s="473" t="s">
        <v>924</v>
      </c>
      <c r="C93" s="459" t="s">
        <v>917</v>
      </c>
      <c r="D93" s="488" t="s">
        <v>697</v>
      </c>
      <c r="E93" s="457" t="s">
        <v>918</v>
      </c>
      <c r="F93" s="431">
        <v>925</v>
      </c>
      <c r="G93" s="431"/>
      <c r="H93" s="431"/>
      <c r="I93" s="431">
        <f t="shared" si="0"/>
        <v>925</v>
      </c>
    </row>
    <row r="94" spans="1:9" x14ac:dyDescent="0.3">
      <c r="A94" s="460">
        <v>86</v>
      </c>
      <c r="B94" s="473" t="s">
        <v>921</v>
      </c>
      <c r="C94" s="459" t="s">
        <v>919</v>
      </c>
      <c r="D94" s="460">
        <v>203841940</v>
      </c>
      <c r="E94" s="457" t="s">
        <v>750</v>
      </c>
      <c r="F94" s="431">
        <v>184.66</v>
      </c>
      <c r="G94" s="431"/>
      <c r="H94" s="431"/>
      <c r="I94" s="431">
        <f t="shared" si="0"/>
        <v>184.66</v>
      </c>
    </row>
    <row r="95" spans="1:9" x14ac:dyDescent="0.3">
      <c r="A95" s="460">
        <v>87</v>
      </c>
      <c r="B95" s="473" t="s">
        <v>921</v>
      </c>
      <c r="C95" s="459" t="s">
        <v>920</v>
      </c>
      <c r="D95" s="460">
        <v>204567085</v>
      </c>
      <c r="E95" s="457" t="s">
        <v>750</v>
      </c>
      <c r="F95" s="431">
        <v>550</v>
      </c>
      <c r="G95" s="431"/>
      <c r="H95" s="431"/>
      <c r="I95" s="431">
        <f t="shared" si="0"/>
        <v>550</v>
      </c>
    </row>
    <row r="96" spans="1:9" x14ac:dyDescent="0.3">
      <c r="A96" s="460">
        <v>88</v>
      </c>
      <c r="B96" s="473" t="s">
        <v>930</v>
      </c>
      <c r="C96" s="457" t="s">
        <v>928</v>
      </c>
      <c r="D96" s="457">
        <v>60001068733</v>
      </c>
      <c r="E96" s="457" t="s">
        <v>779</v>
      </c>
      <c r="F96" s="457">
        <v>1328.08</v>
      </c>
      <c r="G96" s="431"/>
      <c r="H96" s="431"/>
      <c r="I96" s="431">
        <f t="shared" si="0"/>
        <v>1328.08</v>
      </c>
    </row>
    <row r="97" spans="1:9" x14ac:dyDescent="0.3">
      <c r="A97" s="459">
        <v>89</v>
      </c>
      <c r="B97" s="489" t="s">
        <v>931</v>
      </c>
      <c r="C97" s="457" t="s">
        <v>929</v>
      </c>
      <c r="D97" s="457">
        <v>1008005299</v>
      </c>
      <c r="E97" s="457" t="s">
        <v>779</v>
      </c>
      <c r="F97" s="457">
        <v>621</v>
      </c>
      <c r="G97" s="431"/>
      <c r="H97" s="431"/>
      <c r="I97" s="431">
        <f t="shared" si="0"/>
        <v>621</v>
      </c>
    </row>
    <row r="98" spans="1:9" x14ac:dyDescent="0.3">
      <c r="A98" s="459">
        <v>90</v>
      </c>
      <c r="B98" s="489" t="s">
        <v>932</v>
      </c>
      <c r="C98" s="459" t="s">
        <v>933</v>
      </c>
      <c r="D98" s="488" t="s">
        <v>701</v>
      </c>
      <c r="E98" s="457" t="s">
        <v>934</v>
      </c>
      <c r="F98" s="431">
        <v>116</v>
      </c>
      <c r="G98" s="431"/>
      <c r="H98" s="431"/>
      <c r="I98" s="431">
        <f t="shared" si="0"/>
        <v>116</v>
      </c>
    </row>
    <row r="99" spans="1:9" x14ac:dyDescent="0.3">
      <c r="A99" s="459"/>
      <c r="B99" s="489"/>
      <c r="C99" s="459"/>
      <c r="D99" s="460"/>
      <c r="E99" s="457"/>
      <c r="F99" s="431"/>
      <c r="G99" s="431"/>
      <c r="H99" s="431"/>
      <c r="I99" s="431">
        <f t="shared" si="0"/>
        <v>0</v>
      </c>
    </row>
    <row r="100" spans="1:9" x14ac:dyDescent="0.3">
      <c r="A100" s="459"/>
      <c r="B100" s="489"/>
      <c r="C100" s="459"/>
      <c r="D100" s="460"/>
      <c r="E100" s="457"/>
      <c r="F100" s="431">
        <f>SUM(F9:F99)</f>
        <v>235479.38999999993</v>
      </c>
      <c r="G100" s="431"/>
      <c r="H100" s="431"/>
      <c r="I100" s="431">
        <f t="shared" si="0"/>
        <v>235479.38999999993</v>
      </c>
    </row>
    <row r="101" spans="1:9" x14ac:dyDescent="0.3">
      <c r="A101" s="459"/>
      <c r="B101" s="489"/>
      <c r="C101" s="459"/>
      <c r="D101" s="460"/>
      <c r="E101" s="457"/>
      <c r="F101" s="431"/>
      <c r="G101" s="431"/>
      <c r="H101" s="431"/>
      <c r="I101" s="457"/>
    </row>
    <row r="106" spans="1:9" x14ac:dyDescent="0.3">
      <c r="A106" s="283" t="s">
        <v>107</v>
      </c>
      <c r="B106" s="149"/>
      <c r="C106" s="149"/>
      <c r="D106" s="149"/>
      <c r="E106" s="284"/>
      <c r="F106" s="149"/>
      <c r="G106" s="149"/>
    </row>
    <row r="107" spans="1:9" x14ac:dyDescent="0.3">
      <c r="A107" s="149"/>
      <c r="B107" s="149"/>
      <c r="C107" s="149"/>
      <c r="D107" s="149"/>
      <c r="E107" s="490"/>
      <c r="F107" s="490"/>
      <c r="G107" s="490"/>
    </row>
    <row r="108" spans="1:9" x14ac:dyDescent="0.3">
      <c r="A108" s="149"/>
      <c r="B108" s="339"/>
      <c r="C108" s="149"/>
      <c r="D108" s="149"/>
      <c r="E108" s="339"/>
      <c r="F108" s="491"/>
      <c r="G108" s="491"/>
    </row>
    <row r="109" spans="1:9" x14ac:dyDescent="0.3">
      <c r="A109" s="149"/>
      <c r="B109" s="285" t="s">
        <v>271</v>
      </c>
      <c r="C109" s="285"/>
      <c r="D109" s="149"/>
      <c r="E109" s="149" t="s">
        <v>276</v>
      </c>
      <c r="F109" s="490"/>
      <c r="G109" s="490"/>
    </row>
    <row r="110" spans="1:9" x14ac:dyDescent="0.3">
      <c r="A110" s="149"/>
      <c r="B110" s="286" t="s">
        <v>140</v>
      </c>
      <c r="C110" s="149"/>
      <c r="D110" s="149"/>
      <c r="E110" s="149" t="s">
        <v>272</v>
      </c>
      <c r="F110" s="490"/>
      <c r="G110" s="490"/>
    </row>
    <row r="111" spans="1:9" x14ac:dyDescent="0.3">
      <c r="A111" s="149"/>
      <c r="B111" s="149"/>
      <c r="C111" s="286"/>
      <c r="D111" s="490"/>
      <c r="E111" s="490"/>
      <c r="F111" s="490"/>
      <c r="G111" s="490"/>
    </row>
    <row r="112" spans="1:9" x14ac:dyDescent="0.3">
      <c r="A112" s="490"/>
      <c r="B112" s="490"/>
      <c r="C112" s="490"/>
      <c r="D112" s="490"/>
      <c r="E112" s="490"/>
      <c r="F112" s="490"/>
      <c r="G112" s="490"/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40">
      <formula1>40543</formula1>
      <formula2>42004</formula2>
    </dataValidation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2" sqref="M2"/>
    </sheetView>
  </sheetViews>
  <sheetFormatPr defaultRowHeight="12.75" x14ac:dyDescent="0.2"/>
  <cols>
    <col min="1" max="1" width="2.7109375" style="246" customWidth="1"/>
    <col min="2" max="2" width="9" style="246" customWidth="1"/>
    <col min="3" max="3" width="23.42578125" style="246" customWidth="1"/>
    <col min="4" max="4" width="13.28515625" style="246" customWidth="1"/>
    <col min="5" max="5" width="9.5703125" style="246" customWidth="1"/>
    <col min="6" max="6" width="11.5703125" style="246" customWidth="1"/>
    <col min="7" max="7" width="12.28515625" style="246" customWidth="1"/>
    <col min="8" max="8" width="15.28515625" style="246" customWidth="1"/>
    <col min="9" max="9" width="17.5703125" style="246" customWidth="1"/>
    <col min="10" max="11" width="12.42578125" style="246" customWidth="1"/>
    <col min="12" max="12" width="23.5703125" style="246" customWidth="1"/>
    <col min="13" max="13" width="18.5703125" style="246" customWidth="1"/>
    <col min="14" max="14" width="0.85546875" style="246" customWidth="1"/>
    <col min="15" max="16384" width="9.140625" style="246"/>
  </cols>
  <sheetData>
    <row r="1" spans="1:14" ht="13.5" x14ac:dyDescent="0.2">
      <c r="A1" s="242" t="s">
        <v>471</v>
      </c>
      <c r="B1" s="243"/>
      <c r="C1" s="243"/>
      <c r="D1" s="243"/>
      <c r="E1" s="243"/>
      <c r="F1" s="243"/>
      <c r="G1" s="243"/>
      <c r="H1" s="243"/>
      <c r="I1" s="247"/>
      <c r="J1" s="315"/>
      <c r="K1" s="315"/>
      <c r="L1" s="315"/>
      <c r="M1" s="315" t="s">
        <v>425</v>
      </c>
      <c r="N1" s="247"/>
    </row>
    <row r="2" spans="1:14" x14ac:dyDescent="0.2">
      <c r="A2" s="247" t="s">
        <v>322</v>
      </c>
      <c r="B2" s="243"/>
      <c r="C2" s="243"/>
      <c r="D2" s="244"/>
      <c r="E2" s="244"/>
      <c r="F2" s="244"/>
      <c r="G2" s="244"/>
      <c r="H2" s="244"/>
      <c r="I2" s="243"/>
      <c r="J2" s="243"/>
      <c r="K2" s="243"/>
      <c r="L2" s="243"/>
      <c r="M2" s="245" t="s">
        <v>521</v>
      </c>
      <c r="N2" s="247"/>
    </row>
    <row r="3" spans="1:14" x14ac:dyDescent="0.2">
      <c r="A3" s="247"/>
      <c r="B3" s="243"/>
      <c r="C3" s="243"/>
      <c r="D3" s="244"/>
      <c r="E3" s="244"/>
      <c r="F3" s="244"/>
      <c r="G3" s="244"/>
      <c r="H3" s="244"/>
      <c r="I3" s="243"/>
      <c r="J3" s="243"/>
      <c r="K3" s="243"/>
      <c r="L3" s="243"/>
      <c r="M3" s="243"/>
      <c r="N3" s="247"/>
    </row>
    <row r="4" spans="1:14" ht="15" x14ac:dyDescent="0.3">
      <c r="A4" s="161" t="s">
        <v>277</v>
      </c>
      <c r="B4" s="243"/>
      <c r="C4" s="243"/>
      <c r="D4" s="248"/>
      <c r="E4" s="316"/>
      <c r="F4" s="248"/>
      <c r="G4" s="244"/>
      <c r="H4" s="244"/>
      <c r="I4" s="244"/>
      <c r="J4" s="244"/>
      <c r="K4" s="244"/>
      <c r="L4" s="243"/>
      <c r="M4" s="244"/>
      <c r="N4" s="247"/>
    </row>
    <row r="5" spans="1:14" ht="15" x14ac:dyDescent="0.3">
      <c r="A5" s="249"/>
      <c r="B5" s="272" t="s">
        <v>520</v>
      </c>
      <c r="C5" s="110"/>
      <c r="D5" s="110"/>
      <c r="E5" s="110"/>
      <c r="F5" s="110"/>
      <c r="G5" s="110"/>
      <c r="H5" s="250"/>
      <c r="I5" s="250"/>
      <c r="J5" s="250"/>
      <c r="K5" s="250"/>
      <c r="L5" s="250"/>
      <c r="M5" s="250"/>
      <c r="N5" s="247"/>
    </row>
    <row r="6" spans="1:14" ht="13.5" thickBo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247"/>
    </row>
    <row r="7" spans="1:14" ht="51" x14ac:dyDescent="0.2">
      <c r="A7" s="318" t="s">
        <v>64</v>
      </c>
      <c r="B7" s="319" t="s">
        <v>426</v>
      </c>
      <c r="C7" s="319" t="s">
        <v>427</v>
      </c>
      <c r="D7" s="320" t="s">
        <v>428</v>
      </c>
      <c r="E7" s="320" t="s">
        <v>278</v>
      </c>
      <c r="F7" s="320" t="s">
        <v>429</v>
      </c>
      <c r="G7" s="320" t="s">
        <v>430</v>
      </c>
      <c r="H7" s="319" t="s">
        <v>431</v>
      </c>
      <c r="I7" s="321" t="s">
        <v>432</v>
      </c>
      <c r="J7" s="321" t="s">
        <v>433</v>
      </c>
      <c r="K7" s="322" t="s">
        <v>434</v>
      </c>
      <c r="L7" s="322" t="s">
        <v>435</v>
      </c>
      <c r="M7" s="320" t="s">
        <v>425</v>
      </c>
      <c r="N7" s="247"/>
    </row>
    <row r="8" spans="1:14" x14ac:dyDescent="0.2">
      <c r="A8" s="252">
        <v>1</v>
      </c>
      <c r="B8" s="253">
        <v>2</v>
      </c>
      <c r="C8" s="253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254">
        <v>9</v>
      </c>
      <c r="J8" s="254">
        <v>10</v>
      </c>
      <c r="K8" s="254">
        <v>11</v>
      </c>
      <c r="L8" s="254">
        <v>12</v>
      </c>
      <c r="M8" s="254">
        <v>13</v>
      </c>
      <c r="N8" s="247"/>
    </row>
    <row r="9" spans="1:14" ht="15" x14ac:dyDescent="0.25">
      <c r="A9" s="255">
        <v>1</v>
      </c>
      <c r="B9" s="256"/>
      <c r="C9" s="323"/>
      <c r="D9" s="255"/>
      <c r="E9" s="255"/>
      <c r="F9" s="255"/>
      <c r="G9" s="255"/>
      <c r="H9" s="255"/>
      <c r="I9" s="255"/>
      <c r="J9" s="255"/>
      <c r="K9" s="255"/>
      <c r="L9" s="255"/>
      <c r="M9" s="324" t="str">
        <f t="shared" ref="M9:M33" si="0">IF(ISBLANK(B9),"",$M$2)</f>
        <v/>
      </c>
      <c r="N9" s="247"/>
    </row>
    <row r="10" spans="1:14" ht="15" x14ac:dyDescent="0.25">
      <c r="A10" s="255">
        <v>2</v>
      </c>
      <c r="B10" s="256"/>
      <c r="C10" s="323"/>
      <c r="D10" s="255"/>
      <c r="E10" s="255"/>
      <c r="F10" s="255"/>
      <c r="G10" s="255"/>
      <c r="H10" s="255"/>
      <c r="I10" s="255"/>
      <c r="J10" s="255"/>
      <c r="K10" s="255"/>
      <c r="L10" s="255"/>
      <c r="M10" s="324" t="str">
        <f t="shared" si="0"/>
        <v/>
      </c>
      <c r="N10" s="247"/>
    </row>
    <row r="11" spans="1:14" ht="15" x14ac:dyDescent="0.25">
      <c r="A11" s="255">
        <v>3</v>
      </c>
      <c r="B11" s="256"/>
      <c r="C11" s="323"/>
      <c r="D11" s="255"/>
      <c r="E11" s="255"/>
      <c r="F11" s="255"/>
      <c r="G11" s="255"/>
      <c r="H11" s="255"/>
      <c r="I11" s="255"/>
      <c r="J11" s="255"/>
      <c r="K11" s="255"/>
      <c r="L11" s="255"/>
      <c r="M11" s="324" t="str">
        <f t="shared" si="0"/>
        <v/>
      </c>
      <c r="N11" s="247"/>
    </row>
    <row r="12" spans="1:14" ht="15" x14ac:dyDescent="0.25">
      <c r="A12" s="255">
        <v>4</v>
      </c>
      <c r="B12" s="256"/>
      <c r="C12" s="323"/>
      <c r="D12" s="255"/>
      <c r="E12" s="255"/>
      <c r="F12" s="255"/>
      <c r="G12" s="255"/>
      <c r="H12" s="255"/>
      <c r="I12" s="255"/>
      <c r="J12" s="255"/>
      <c r="K12" s="255"/>
      <c r="L12" s="255"/>
      <c r="M12" s="324" t="str">
        <f t="shared" si="0"/>
        <v/>
      </c>
      <c r="N12" s="247"/>
    </row>
    <row r="13" spans="1:14" ht="15" x14ac:dyDescent="0.25">
      <c r="A13" s="255">
        <v>5</v>
      </c>
      <c r="B13" s="256"/>
      <c r="C13" s="323"/>
      <c r="D13" s="255"/>
      <c r="E13" s="255"/>
      <c r="F13" s="255"/>
      <c r="G13" s="255"/>
      <c r="H13" s="255"/>
      <c r="I13" s="255"/>
      <c r="J13" s="255"/>
      <c r="K13" s="255"/>
      <c r="L13" s="255"/>
      <c r="M13" s="324" t="str">
        <f t="shared" si="0"/>
        <v/>
      </c>
      <c r="N13" s="247"/>
    </row>
    <row r="14" spans="1:14" ht="15" x14ac:dyDescent="0.25">
      <c r="A14" s="255">
        <v>6</v>
      </c>
      <c r="B14" s="256"/>
      <c r="C14" s="323"/>
      <c r="D14" s="255"/>
      <c r="E14" s="255"/>
      <c r="F14" s="255"/>
      <c r="G14" s="255"/>
      <c r="H14" s="255"/>
      <c r="I14" s="255"/>
      <c r="J14" s="255"/>
      <c r="K14" s="255"/>
      <c r="L14" s="255"/>
      <c r="M14" s="324" t="str">
        <f t="shared" si="0"/>
        <v/>
      </c>
      <c r="N14" s="247"/>
    </row>
    <row r="15" spans="1:14" ht="15" x14ac:dyDescent="0.25">
      <c r="A15" s="255">
        <v>7</v>
      </c>
      <c r="B15" s="256"/>
      <c r="C15" s="323"/>
      <c r="D15" s="255"/>
      <c r="E15" s="255"/>
      <c r="F15" s="255"/>
      <c r="G15" s="255"/>
      <c r="H15" s="255"/>
      <c r="I15" s="255"/>
      <c r="J15" s="255"/>
      <c r="K15" s="255"/>
      <c r="L15" s="255"/>
      <c r="M15" s="324" t="str">
        <f t="shared" si="0"/>
        <v/>
      </c>
      <c r="N15" s="247"/>
    </row>
    <row r="16" spans="1:14" ht="15" x14ac:dyDescent="0.25">
      <c r="A16" s="255">
        <v>8</v>
      </c>
      <c r="B16" s="256"/>
      <c r="C16" s="323"/>
      <c r="D16" s="255"/>
      <c r="E16" s="255"/>
      <c r="F16" s="255"/>
      <c r="G16" s="255"/>
      <c r="H16" s="255"/>
      <c r="I16" s="255"/>
      <c r="J16" s="255"/>
      <c r="K16" s="255"/>
      <c r="L16" s="255"/>
      <c r="M16" s="324" t="str">
        <f t="shared" si="0"/>
        <v/>
      </c>
      <c r="N16" s="247"/>
    </row>
    <row r="17" spans="1:14" ht="15" x14ac:dyDescent="0.25">
      <c r="A17" s="255">
        <v>9</v>
      </c>
      <c r="B17" s="256"/>
      <c r="C17" s="323"/>
      <c r="D17" s="255"/>
      <c r="E17" s="255"/>
      <c r="F17" s="255"/>
      <c r="G17" s="255"/>
      <c r="H17" s="255"/>
      <c r="I17" s="255"/>
      <c r="J17" s="255"/>
      <c r="K17" s="255"/>
      <c r="L17" s="255"/>
      <c r="M17" s="324" t="str">
        <f t="shared" si="0"/>
        <v/>
      </c>
      <c r="N17" s="247"/>
    </row>
    <row r="18" spans="1:14" ht="15" x14ac:dyDescent="0.25">
      <c r="A18" s="255">
        <v>10</v>
      </c>
      <c r="B18" s="256"/>
      <c r="C18" s="323"/>
      <c r="D18" s="255"/>
      <c r="E18" s="255"/>
      <c r="F18" s="255"/>
      <c r="G18" s="255"/>
      <c r="H18" s="255"/>
      <c r="I18" s="255"/>
      <c r="J18" s="255"/>
      <c r="K18" s="255"/>
      <c r="L18" s="255"/>
      <c r="M18" s="324" t="str">
        <f t="shared" si="0"/>
        <v/>
      </c>
      <c r="N18" s="247"/>
    </row>
    <row r="19" spans="1:14" ht="15" x14ac:dyDescent="0.25">
      <c r="A19" s="255">
        <v>11</v>
      </c>
      <c r="B19" s="256"/>
      <c r="C19" s="323"/>
      <c r="D19" s="255"/>
      <c r="E19" s="255"/>
      <c r="F19" s="255"/>
      <c r="G19" s="255"/>
      <c r="H19" s="255"/>
      <c r="I19" s="255"/>
      <c r="J19" s="255"/>
      <c r="K19" s="255"/>
      <c r="L19" s="255"/>
      <c r="M19" s="324" t="str">
        <f t="shared" si="0"/>
        <v/>
      </c>
      <c r="N19" s="247"/>
    </row>
    <row r="20" spans="1:14" ht="15" x14ac:dyDescent="0.25">
      <c r="A20" s="255">
        <v>12</v>
      </c>
      <c r="B20" s="256"/>
      <c r="C20" s="323"/>
      <c r="D20" s="255"/>
      <c r="E20" s="255"/>
      <c r="F20" s="255"/>
      <c r="G20" s="255"/>
      <c r="H20" s="255"/>
      <c r="I20" s="255"/>
      <c r="J20" s="255"/>
      <c r="K20" s="255"/>
      <c r="L20" s="255"/>
      <c r="M20" s="324" t="str">
        <f t="shared" si="0"/>
        <v/>
      </c>
      <c r="N20" s="247"/>
    </row>
    <row r="21" spans="1:14" ht="15" x14ac:dyDescent="0.25">
      <c r="A21" s="255">
        <v>13</v>
      </c>
      <c r="B21" s="256"/>
      <c r="C21" s="323"/>
      <c r="D21" s="255"/>
      <c r="E21" s="255"/>
      <c r="F21" s="255"/>
      <c r="G21" s="255"/>
      <c r="H21" s="255"/>
      <c r="I21" s="255"/>
      <c r="J21" s="255"/>
      <c r="K21" s="255"/>
      <c r="L21" s="255"/>
      <c r="M21" s="324" t="str">
        <f t="shared" si="0"/>
        <v/>
      </c>
      <c r="N21" s="247"/>
    </row>
    <row r="22" spans="1:14" ht="15" x14ac:dyDescent="0.25">
      <c r="A22" s="255">
        <v>14</v>
      </c>
      <c r="B22" s="256"/>
      <c r="C22" s="323"/>
      <c r="D22" s="255"/>
      <c r="E22" s="255"/>
      <c r="F22" s="255"/>
      <c r="G22" s="255"/>
      <c r="H22" s="255"/>
      <c r="I22" s="255"/>
      <c r="J22" s="255"/>
      <c r="K22" s="255"/>
      <c r="L22" s="255"/>
      <c r="M22" s="324" t="str">
        <f t="shared" si="0"/>
        <v/>
      </c>
      <c r="N22" s="247"/>
    </row>
    <row r="23" spans="1:14" ht="15" x14ac:dyDescent="0.25">
      <c r="A23" s="255">
        <v>15</v>
      </c>
      <c r="B23" s="256"/>
      <c r="C23" s="323"/>
      <c r="D23" s="255"/>
      <c r="E23" s="255"/>
      <c r="F23" s="255"/>
      <c r="G23" s="255"/>
      <c r="H23" s="255"/>
      <c r="I23" s="255"/>
      <c r="J23" s="255"/>
      <c r="K23" s="255"/>
      <c r="L23" s="255"/>
      <c r="M23" s="324" t="str">
        <f t="shared" si="0"/>
        <v/>
      </c>
      <c r="N23" s="247"/>
    </row>
    <row r="24" spans="1:14" ht="15" x14ac:dyDescent="0.25">
      <c r="A24" s="255">
        <v>16</v>
      </c>
      <c r="B24" s="256"/>
      <c r="C24" s="323"/>
      <c r="D24" s="255"/>
      <c r="E24" s="255"/>
      <c r="F24" s="255"/>
      <c r="G24" s="255"/>
      <c r="H24" s="255"/>
      <c r="I24" s="255"/>
      <c r="J24" s="255"/>
      <c r="K24" s="255"/>
      <c r="L24" s="255"/>
      <c r="M24" s="324" t="str">
        <f t="shared" si="0"/>
        <v/>
      </c>
      <c r="N24" s="247"/>
    </row>
    <row r="25" spans="1:14" ht="15" x14ac:dyDescent="0.25">
      <c r="A25" s="255">
        <v>17</v>
      </c>
      <c r="B25" s="256"/>
      <c r="C25" s="323"/>
      <c r="D25" s="255"/>
      <c r="E25" s="255"/>
      <c r="F25" s="255"/>
      <c r="G25" s="255"/>
      <c r="H25" s="255"/>
      <c r="I25" s="255"/>
      <c r="J25" s="255"/>
      <c r="K25" s="255"/>
      <c r="L25" s="255"/>
      <c r="M25" s="324" t="str">
        <f t="shared" si="0"/>
        <v/>
      </c>
      <c r="N25" s="247"/>
    </row>
    <row r="26" spans="1:14" ht="15" x14ac:dyDescent="0.25">
      <c r="A26" s="255">
        <v>18</v>
      </c>
      <c r="B26" s="256"/>
      <c r="C26" s="323"/>
      <c r="D26" s="255"/>
      <c r="E26" s="255"/>
      <c r="F26" s="255"/>
      <c r="G26" s="255"/>
      <c r="H26" s="255"/>
      <c r="I26" s="255"/>
      <c r="J26" s="255"/>
      <c r="K26" s="255"/>
      <c r="L26" s="255"/>
      <c r="M26" s="324" t="str">
        <f t="shared" si="0"/>
        <v/>
      </c>
      <c r="N26" s="247"/>
    </row>
    <row r="27" spans="1:14" ht="15" x14ac:dyDescent="0.25">
      <c r="A27" s="255">
        <v>19</v>
      </c>
      <c r="B27" s="256"/>
      <c r="C27" s="323"/>
      <c r="D27" s="255"/>
      <c r="E27" s="255"/>
      <c r="F27" s="255"/>
      <c r="G27" s="255"/>
      <c r="H27" s="255"/>
      <c r="I27" s="255"/>
      <c r="J27" s="255"/>
      <c r="K27" s="255"/>
      <c r="L27" s="255"/>
      <c r="M27" s="324" t="str">
        <f t="shared" si="0"/>
        <v/>
      </c>
      <c r="N27" s="247"/>
    </row>
    <row r="28" spans="1:14" ht="15" x14ac:dyDescent="0.25">
      <c r="A28" s="255">
        <v>20</v>
      </c>
      <c r="B28" s="256"/>
      <c r="C28" s="323"/>
      <c r="D28" s="255"/>
      <c r="E28" s="255"/>
      <c r="F28" s="255"/>
      <c r="G28" s="255"/>
      <c r="H28" s="255"/>
      <c r="I28" s="255"/>
      <c r="J28" s="255"/>
      <c r="K28" s="255"/>
      <c r="L28" s="255"/>
      <c r="M28" s="324" t="str">
        <f t="shared" si="0"/>
        <v/>
      </c>
      <c r="N28" s="247"/>
    </row>
    <row r="29" spans="1:14" ht="15" x14ac:dyDescent="0.25">
      <c r="A29" s="255">
        <v>21</v>
      </c>
      <c r="B29" s="256"/>
      <c r="C29" s="323"/>
      <c r="D29" s="255"/>
      <c r="E29" s="255"/>
      <c r="F29" s="255"/>
      <c r="G29" s="255"/>
      <c r="H29" s="255"/>
      <c r="I29" s="255"/>
      <c r="J29" s="255"/>
      <c r="K29" s="255"/>
      <c r="L29" s="255"/>
      <c r="M29" s="324" t="str">
        <f t="shared" si="0"/>
        <v/>
      </c>
      <c r="N29" s="247"/>
    </row>
    <row r="30" spans="1:14" ht="15" x14ac:dyDescent="0.25">
      <c r="A30" s="255">
        <v>22</v>
      </c>
      <c r="B30" s="256"/>
      <c r="C30" s="323"/>
      <c r="D30" s="255"/>
      <c r="E30" s="255"/>
      <c r="F30" s="255"/>
      <c r="G30" s="255"/>
      <c r="H30" s="255"/>
      <c r="I30" s="255"/>
      <c r="J30" s="255"/>
      <c r="K30" s="255"/>
      <c r="L30" s="255"/>
      <c r="M30" s="324" t="str">
        <f t="shared" si="0"/>
        <v/>
      </c>
      <c r="N30" s="247"/>
    </row>
    <row r="31" spans="1:14" ht="15" x14ac:dyDescent="0.25">
      <c r="A31" s="255">
        <v>23</v>
      </c>
      <c r="B31" s="256"/>
      <c r="C31" s="323"/>
      <c r="D31" s="255"/>
      <c r="E31" s="255"/>
      <c r="F31" s="255"/>
      <c r="G31" s="255"/>
      <c r="H31" s="255"/>
      <c r="I31" s="255"/>
      <c r="J31" s="255"/>
      <c r="K31" s="255"/>
      <c r="L31" s="255"/>
      <c r="M31" s="324" t="str">
        <f t="shared" si="0"/>
        <v/>
      </c>
      <c r="N31" s="247"/>
    </row>
    <row r="32" spans="1:14" ht="15" x14ac:dyDescent="0.25">
      <c r="A32" s="255">
        <v>24</v>
      </c>
      <c r="B32" s="256"/>
      <c r="C32" s="323"/>
      <c r="D32" s="255"/>
      <c r="E32" s="255"/>
      <c r="F32" s="255"/>
      <c r="G32" s="255"/>
      <c r="H32" s="255"/>
      <c r="I32" s="255"/>
      <c r="J32" s="255"/>
      <c r="K32" s="255"/>
      <c r="L32" s="255"/>
      <c r="M32" s="324" t="str">
        <f t="shared" si="0"/>
        <v/>
      </c>
      <c r="N32" s="247"/>
    </row>
    <row r="33" spans="1:14" ht="15" x14ac:dyDescent="0.25">
      <c r="A33" s="325" t="s">
        <v>284</v>
      </c>
      <c r="B33" s="256"/>
      <c r="C33" s="323"/>
      <c r="D33" s="255"/>
      <c r="E33" s="255"/>
      <c r="F33" s="255"/>
      <c r="G33" s="255"/>
      <c r="H33" s="255"/>
      <c r="I33" s="255"/>
      <c r="J33" s="255"/>
      <c r="K33" s="255"/>
      <c r="L33" s="255"/>
      <c r="M33" s="324" t="str">
        <f t="shared" si="0"/>
        <v/>
      </c>
      <c r="N33" s="247"/>
    </row>
    <row r="34" spans="1:14" s="262" customFormat="1" x14ac:dyDescent="0.2"/>
    <row r="37" spans="1:14" s="21" customFormat="1" ht="15" x14ac:dyDescent="0.3">
      <c r="B37" s="257" t="s">
        <v>107</v>
      </c>
    </row>
    <row r="38" spans="1:14" s="21" customFormat="1" ht="15" x14ac:dyDescent="0.3">
      <c r="B38" s="257"/>
    </row>
    <row r="39" spans="1:14" s="21" customFormat="1" ht="15" x14ac:dyDescent="0.3">
      <c r="C39" s="259"/>
      <c r="D39" s="258"/>
      <c r="E39" s="258"/>
      <c r="H39" s="259"/>
      <c r="I39" s="259"/>
      <c r="J39" s="258"/>
      <c r="K39" s="258"/>
      <c r="L39" s="258"/>
    </row>
    <row r="40" spans="1:14" s="21" customFormat="1" ht="15" x14ac:dyDescent="0.3">
      <c r="C40" s="260" t="s">
        <v>271</v>
      </c>
      <c r="D40" s="258"/>
      <c r="E40" s="258"/>
      <c r="H40" s="257" t="s">
        <v>324</v>
      </c>
      <c r="M40" s="258"/>
    </row>
    <row r="41" spans="1:14" s="21" customFormat="1" ht="15" x14ac:dyDescent="0.3">
      <c r="C41" s="260" t="s">
        <v>140</v>
      </c>
      <c r="D41" s="258"/>
      <c r="E41" s="258"/>
      <c r="H41" s="261" t="s">
        <v>272</v>
      </c>
      <c r="M41" s="258"/>
    </row>
    <row r="42" spans="1:14" ht="15" x14ac:dyDescent="0.3">
      <c r="C42" s="260"/>
      <c r="F42" s="261"/>
      <c r="J42" s="263"/>
      <c r="K42" s="263"/>
      <c r="L42" s="263"/>
      <c r="M42" s="263"/>
    </row>
    <row r="43" spans="1:14" ht="15" x14ac:dyDescent="0.3">
      <c r="C43" s="260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2">
        <v>40907</v>
      </c>
      <c r="C2" t="s">
        <v>201</v>
      </c>
      <c r="E2" t="s">
        <v>234</v>
      </c>
      <c r="G2" s="88" t="s">
        <v>240</v>
      </c>
    </row>
    <row r="3" spans="1:7" ht="15" x14ac:dyDescent="0.2">
      <c r="A3" s="62">
        <v>40908</v>
      </c>
      <c r="C3" t="s">
        <v>202</v>
      </c>
      <c r="E3" t="s">
        <v>235</v>
      </c>
      <c r="G3" s="88" t="s">
        <v>241</v>
      </c>
    </row>
    <row r="4" spans="1:7" ht="15" x14ac:dyDescent="0.2">
      <c r="A4" s="62">
        <v>40909</v>
      </c>
      <c r="C4" t="s">
        <v>203</v>
      </c>
      <c r="E4" t="s">
        <v>236</v>
      </c>
      <c r="G4" s="88" t="s">
        <v>242</v>
      </c>
    </row>
    <row r="5" spans="1:7" x14ac:dyDescent="0.2">
      <c r="A5" s="62">
        <v>40910</v>
      </c>
      <c r="C5" t="s">
        <v>204</v>
      </c>
      <c r="E5" t="s">
        <v>237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2013-02-13T10:24:46Z</cp:lastPrinted>
  <dcterms:created xsi:type="dcterms:W3CDTF">2011-12-27T13:20:18Z</dcterms:created>
  <dcterms:modified xsi:type="dcterms:W3CDTF">2016-04-19T13:44:03Z</dcterms:modified>
</cp:coreProperties>
</file>