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60" windowWidth="20730" windowHeight="11700" tabRatio="954" activeTab="1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  <externalReference r:id="rId2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5.2'!$A$1:$I$35</definedName>
    <definedName name="_xlnm.Print_Area" localSheetId="8">'ფორმა 5.4'!$A$1:$H$34</definedName>
    <definedName name="_xlnm.Print_Area" localSheetId="9">'ფორმა 5.5'!$A$1:$M$38</definedName>
    <definedName name="_xlnm.Print_Area" localSheetId="14">'ფორმა 9.1'!$A$1:$I$161</definedName>
    <definedName name="_xlnm.Print_Area" localSheetId="15">'ფორმა 9.2'!$A$1:$K$35</definedName>
    <definedName name="_xlnm.Print_Area" localSheetId="16">'ფორმა 9.6'!$A$1:$I$27</definedName>
    <definedName name="_xlnm.Print_Area" localSheetId="12">'ფორმა N 8.1'!$A$1:$H$32</definedName>
    <definedName name="_xlnm.Print_Area" localSheetId="17">'ფორმა N 9.7'!$A$1:$I$102</definedName>
    <definedName name="_xlnm.Print_Area" localSheetId="0">'ფორმა N1'!$A$1:$L$36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N8'!$A$1:$J$26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5621"/>
</workbook>
</file>

<file path=xl/calcChain.xml><?xml version="1.0" encoding="utf-8"?>
<calcChain xmlns="http://schemas.openxmlformats.org/spreadsheetml/2006/main">
  <c r="D39" i="47" l="1"/>
  <c r="C39" i="47"/>
  <c r="C10" i="47"/>
  <c r="D10" i="47"/>
  <c r="D53" i="47"/>
  <c r="C53" i="47"/>
  <c r="H47" i="12" l="1"/>
  <c r="D25" i="7"/>
  <c r="C25" i="7"/>
  <c r="C17" i="7"/>
  <c r="H25" i="7"/>
  <c r="G25" i="7"/>
  <c r="H13" i="7"/>
  <c r="G13" i="7"/>
  <c r="H9" i="7"/>
  <c r="G9" i="7"/>
  <c r="H11" i="7"/>
  <c r="G11" i="7"/>
  <c r="U31" i="7"/>
  <c r="T31" i="7"/>
  <c r="U27" i="7"/>
  <c r="U26" i="7" s="1"/>
  <c r="T27" i="7"/>
  <c r="T26" i="7" s="1"/>
  <c r="T10" i="7" s="1"/>
  <c r="T9" i="7" s="1"/>
  <c r="U25" i="7"/>
  <c r="T25" i="7"/>
  <c r="U19" i="7"/>
  <c r="T19" i="7"/>
  <c r="U16" i="7"/>
  <c r="T16" i="7"/>
  <c r="U12" i="7"/>
  <c r="T12" i="7"/>
  <c r="U10" i="7"/>
  <c r="F27" i="40"/>
  <c r="F28" i="40"/>
  <c r="F37" i="40"/>
  <c r="F46" i="40"/>
  <c r="F47" i="40"/>
  <c r="H2" i="40"/>
  <c r="H3" i="40"/>
  <c r="H4" i="40"/>
  <c r="H5" i="40"/>
  <c r="H6" i="40"/>
  <c r="H7" i="40"/>
  <c r="H8" i="40"/>
  <c r="H9" i="40"/>
  <c r="H10" i="40"/>
  <c r="H11" i="40"/>
  <c r="H12" i="40"/>
  <c r="H13" i="40"/>
  <c r="H14" i="40"/>
  <c r="H15" i="40"/>
  <c r="H16" i="40"/>
  <c r="H17" i="40"/>
  <c r="H18" i="40"/>
  <c r="H19" i="40"/>
  <c r="H20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52" i="40"/>
  <c r="H53" i="40"/>
  <c r="H54" i="40"/>
  <c r="H55" i="40"/>
  <c r="H56" i="40"/>
  <c r="H57" i="40"/>
  <c r="H58" i="40"/>
  <c r="H59" i="40"/>
  <c r="H60" i="40"/>
  <c r="H61" i="40"/>
  <c r="H62" i="40"/>
  <c r="H63" i="40"/>
  <c r="H64" i="40"/>
  <c r="H65" i="40"/>
  <c r="H66" i="40"/>
  <c r="H67" i="40"/>
  <c r="H68" i="40"/>
  <c r="H69" i="40"/>
  <c r="H70" i="40"/>
  <c r="H71" i="40"/>
  <c r="H72" i="40"/>
  <c r="H73" i="40"/>
  <c r="H74" i="40"/>
  <c r="H75" i="40"/>
  <c r="H76" i="40"/>
  <c r="H77" i="40"/>
  <c r="H78" i="40"/>
  <c r="H79" i="40"/>
  <c r="G2" i="40"/>
  <c r="G3" i="40"/>
  <c r="G4" i="40"/>
  <c r="G5" i="40"/>
  <c r="G6" i="40"/>
  <c r="G7" i="40"/>
  <c r="G8" i="40"/>
  <c r="G9" i="40"/>
  <c r="G10" i="40"/>
  <c r="G12" i="40"/>
  <c r="G13" i="40"/>
  <c r="G14" i="40"/>
  <c r="G15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2" i="40"/>
  <c r="G63" i="40"/>
  <c r="G64" i="40"/>
  <c r="G65" i="40"/>
  <c r="G66" i="40"/>
  <c r="G67" i="40"/>
  <c r="G68" i="40"/>
  <c r="G69" i="40"/>
  <c r="G70" i="40"/>
  <c r="G71" i="40"/>
  <c r="G72" i="40"/>
  <c r="G73" i="40"/>
  <c r="G74" i="40"/>
  <c r="G75" i="40"/>
  <c r="G76" i="40"/>
  <c r="G77" i="40"/>
  <c r="G78" i="40"/>
  <c r="G79" i="40"/>
  <c r="H1" i="40"/>
  <c r="G1" i="40"/>
  <c r="T76" i="40"/>
  <c r="T67" i="40"/>
  <c r="T61" i="40"/>
  <c r="S61" i="40"/>
  <c r="T56" i="40"/>
  <c r="S56" i="40"/>
  <c r="T50" i="40"/>
  <c r="S50" i="40"/>
  <c r="T39" i="40"/>
  <c r="S39" i="40"/>
  <c r="T35" i="40"/>
  <c r="S35" i="40"/>
  <c r="T26" i="40"/>
  <c r="S26" i="40"/>
  <c r="T20" i="40"/>
  <c r="S20" i="40"/>
  <c r="T17" i="40"/>
  <c r="S17" i="40"/>
  <c r="T16" i="40"/>
  <c r="S16" i="40"/>
  <c r="T12" i="40"/>
  <c r="S12" i="40"/>
  <c r="T11" i="40"/>
  <c r="S11" i="40"/>
  <c r="H2" i="47"/>
  <c r="H3" i="47"/>
  <c r="H4" i="47"/>
  <c r="H5" i="47"/>
  <c r="H6" i="47"/>
  <c r="H7" i="47"/>
  <c r="H8" i="47"/>
  <c r="H9" i="47"/>
  <c r="H10" i="47"/>
  <c r="H11" i="47"/>
  <c r="H12" i="47"/>
  <c r="H13" i="47"/>
  <c r="H14" i="47"/>
  <c r="H15" i="47"/>
  <c r="H16" i="47"/>
  <c r="H17" i="47"/>
  <c r="H18" i="47"/>
  <c r="H19" i="47"/>
  <c r="H20" i="47"/>
  <c r="H21" i="47"/>
  <c r="H22" i="47"/>
  <c r="H23" i="47"/>
  <c r="H24" i="47"/>
  <c r="H25" i="47"/>
  <c r="H26" i="47"/>
  <c r="H27" i="47"/>
  <c r="H28" i="47"/>
  <c r="H29" i="47"/>
  <c r="H30" i="47"/>
  <c r="H31" i="47"/>
  <c r="H32" i="47"/>
  <c r="H33" i="47"/>
  <c r="H34" i="47"/>
  <c r="H35" i="47"/>
  <c r="H36" i="47"/>
  <c r="H37" i="47"/>
  <c r="H38" i="47"/>
  <c r="H39" i="47"/>
  <c r="H40" i="47"/>
  <c r="H41" i="47"/>
  <c r="H42" i="47"/>
  <c r="H43" i="47"/>
  <c r="H44" i="47"/>
  <c r="H45" i="47"/>
  <c r="H46" i="47"/>
  <c r="H47" i="47"/>
  <c r="H48" i="47"/>
  <c r="H49" i="47"/>
  <c r="H50" i="47"/>
  <c r="H51" i="47"/>
  <c r="H5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8" i="47"/>
  <c r="H69" i="47"/>
  <c r="H70" i="47"/>
  <c r="H71" i="47"/>
  <c r="H72" i="47"/>
  <c r="H73" i="47"/>
  <c r="H74" i="47"/>
  <c r="H75" i="47"/>
  <c r="H76" i="47"/>
  <c r="H77" i="47"/>
  <c r="H78" i="47"/>
  <c r="G2" i="47"/>
  <c r="G3" i="47"/>
  <c r="G4" i="47"/>
  <c r="G5" i="47"/>
  <c r="G6" i="47"/>
  <c r="G7" i="47"/>
  <c r="G8" i="47"/>
  <c r="G9" i="47"/>
  <c r="G10" i="47"/>
  <c r="G11" i="47"/>
  <c r="G12" i="47"/>
  <c r="G13" i="47"/>
  <c r="G14" i="47"/>
  <c r="G15" i="47"/>
  <c r="G16" i="47"/>
  <c r="G17" i="47"/>
  <c r="G18" i="47"/>
  <c r="G19" i="47"/>
  <c r="G20" i="47"/>
  <c r="G21" i="47"/>
  <c r="G22" i="47"/>
  <c r="G23" i="47"/>
  <c r="G24" i="47"/>
  <c r="G25" i="47"/>
  <c r="G26" i="47"/>
  <c r="G27" i="47"/>
  <c r="G28" i="47"/>
  <c r="G29" i="47"/>
  <c r="G30" i="47"/>
  <c r="G31" i="47"/>
  <c r="G32" i="47"/>
  <c r="G33" i="47"/>
  <c r="G34" i="47"/>
  <c r="G35" i="47"/>
  <c r="G36" i="47"/>
  <c r="G37" i="47"/>
  <c r="G38" i="47"/>
  <c r="G39" i="47"/>
  <c r="G40" i="47"/>
  <c r="G41" i="47"/>
  <c r="G42" i="47"/>
  <c r="G43" i="47"/>
  <c r="G44" i="47"/>
  <c r="G45" i="47"/>
  <c r="G46" i="47"/>
  <c r="G47" i="47"/>
  <c r="G48" i="47"/>
  <c r="G49" i="47"/>
  <c r="G50" i="47"/>
  <c r="G51" i="47"/>
  <c r="G52" i="47"/>
  <c r="G53" i="47"/>
  <c r="G54" i="47"/>
  <c r="G55" i="47"/>
  <c r="G56" i="47"/>
  <c r="G57" i="47"/>
  <c r="G58" i="47"/>
  <c r="G59" i="47"/>
  <c r="G60" i="47"/>
  <c r="G61" i="47"/>
  <c r="G62" i="47"/>
  <c r="G63" i="47"/>
  <c r="G64" i="47"/>
  <c r="G65" i="47"/>
  <c r="G66" i="47"/>
  <c r="G67" i="47"/>
  <c r="G68" i="47"/>
  <c r="G69" i="47"/>
  <c r="G70" i="47"/>
  <c r="G71" i="47"/>
  <c r="G72" i="47"/>
  <c r="G73" i="47"/>
  <c r="G74" i="47"/>
  <c r="G75" i="47"/>
  <c r="G76" i="47"/>
  <c r="G77" i="47"/>
  <c r="G78" i="47"/>
  <c r="G79" i="47"/>
  <c r="Q53" i="47"/>
  <c r="H1" i="47"/>
  <c r="G1" i="47"/>
  <c r="U73" i="47"/>
  <c r="T73" i="47"/>
  <c r="U65" i="47"/>
  <c r="U59" i="47"/>
  <c r="T59" i="47"/>
  <c r="U54" i="47"/>
  <c r="T54" i="47"/>
  <c r="U48" i="47"/>
  <c r="T48" i="47"/>
  <c r="U37" i="47"/>
  <c r="T37" i="47"/>
  <c r="U33" i="47"/>
  <c r="T33" i="47"/>
  <c r="U24" i="47"/>
  <c r="T24" i="47"/>
  <c r="U18" i="47"/>
  <c r="U14" i="47" s="1"/>
  <c r="U9" i="47" s="1"/>
  <c r="T18" i="47"/>
  <c r="U15" i="47"/>
  <c r="T15" i="47"/>
  <c r="T14" i="47"/>
  <c r="U10" i="47"/>
  <c r="T10" i="47"/>
  <c r="T9" i="47"/>
  <c r="I10" i="43"/>
  <c r="I11" i="43"/>
  <c r="I9" i="43"/>
  <c r="G11" i="43"/>
  <c r="G10" i="43"/>
  <c r="G9" i="43"/>
  <c r="M64" i="12"/>
  <c r="M47" i="12"/>
  <c r="M45" i="12"/>
  <c r="M44" i="12"/>
  <c r="M34" i="12"/>
  <c r="M28" i="12"/>
  <c r="M27" i="12"/>
  <c r="M11" i="12"/>
  <c r="M10" i="12" s="1"/>
  <c r="H14" i="9"/>
  <c r="H10" i="9"/>
  <c r="G10" i="9"/>
  <c r="AF14" i="9"/>
  <c r="AF13" i="9"/>
  <c r="AF12" i="9"/>
  <c r="AF11" i="9"/>
  <c r="AF10" i="9"/>
  <c r="U9" i="7" l="1"/>
  <c r="D17" i="7" l="1"/>
  <c r="G31" i="10" l="1"/>
  <c r="F31" i="10"/>
  <c r="E31" i="10"/>
  <c r="D31" i="10"/>
  <c r="AE32" i="10"/>
  <c r="AD32" i="10"/>
  <c r="AC32" i="10"/>
  <c r="AB32" i="10"/>
  <c r="AA32" i="10"/>
  <c r="Z32" i="10"/>
  <c r="Y32" i="10"/>
  <c r="X32" i="10"/>
  <c r="W32" i="10"/>
  <c r="AB31" i="10"/>
  <c r="AB24" i="10" s="1"/>
  <c r="AA31" i="10"/>
  <c r="AA24" i="10" s="1"/>
  <c r="AC24" i="10"/>
  <c r="Z24" i="10"/>
  <c r="Y24" i="10"/>
  <c r="X24" i="10"/>
  <c r="W24" i="10"/>
  <c r="AE19" i="10"/>
  <c r="AD19" i="10"/>
  <c r="AD17" i="10" s="1"/>
  <c r="AC19" i="10"/>
  <c r="AB19" i="10"/>
  <c r="AA19" i="10"/>
  <c r="Z19" i="10"/>
  <c r="Z17" i="10" s="1"/>
  <c r="Y19" i="10"/>
  <c r="Y17" i="10" s="1"/>
  <c r="X19" i="10"/>
  <c r="W19" i="10"/>
  <c r="AE17" i="10"/>
  <c r="AC17" i="10"/>
  <c r="AB17" i="10"/>
  <c r="AA17" i="10"/>
  <c r="X17" i="10"/>
  <c r="W17" i="10"/>
  <c r="AE16" i="10"/>
  <c r="AD16" i="10"/>
  <c r="AE15" i="10"/>
  <c r="AE14" i="10" s="1"/>
  <c r="AD15" i="10"/>
  <c r="AC14" i="10"/>
  <c r="AB14" i="10"/>
  <c r="AA14" i="10"/>
  <c r="Z14" i="10"/>
  <c r="Y14" i="10"/>
  <c r="X14" i="10"/>
  <c r="X9" i="10" s="1"/>
  <c r="W14" i="10"/>
  <c r="AE10" i="10"/>
  <c r="AD10" i="10"/>
  <c r="AC10" i="10"/>
  <c r="AB10" i="10"/>
  <c r="AA10" i="10"/>
  <c r="Z10" i="10"/>
  <c r="Y10" i="10"/>
  <c r="X10" i="10"/>
  <c r="W10" i="10"/>
  <c r="U32" i="10"/>
  <c r="T32" i="10"/>
  <c r="S32" i="10"/>
  <c r="R32" i="10"/>
  <c r="Q32" i="10"/>
  <c r="P32" i="10"/>
  <c r="O32" i="10"/>
  <c r="N32" i="10"/>
  <c r="M32" i="10"/>
  <c r="R31" i="10"/>
  <c r="R24" i="10" s="1"/>
  <c r="Q31" i="10"/>
  <c r="T31" i="10" s="1"/>
  <c r="T24" i="10" s="1"/>
  <c r="S24" i="10"/>
  <c r="P24" i="10"/>
  <c r="O24" i="10"/>
  <c r="N24" i="10"/>
  <c r="M24" i="10"/>
  <c r="U19" i="10"/>
  <c r="T19" i="10"/>
  <c r="T17" i="10" s="1"/>
  <c r="S19" i="10"/>
  <c r="R19" i="10"/>
  <c r="Q19" i="10"/>
  <c r="P19" i="10"/>
  <c r="P17" i="10" s="1"/>
  <c r="P9" i="10" s="1"/>
  <c r="O19" i="10"/>
  <c r="O17" i="10" s="1"/>
  <c r="N19" i="10"/>
  <c r="M19" i="10"/>
  <c r="U17" i="10"/>
  <c r="S17" i="10"/>
  <c r="R17" i="10"/>
  <c r="Q17" i="10"/>
  <c r="N17" i="10"/>
  <c r="M17" i="10"/>
  <c r="U16" i="10"/>
  <c r="T16" i="10"/>
  <c r="U15" i="10"/>
  <c r="U14" i="10" s="1"/>
  <c r="U9" i="10" s="1"/>
  <c r="T15" i="10"/>
  <c r="S14" i="10"/>
  <c r="R14" i="10"/>
  <c r="Q14" i="10"/>
  <c r="P14" i="10"/>
  <c r="O14" i="10"/>
  <c r="N14" i="10"/>
  <c r="M14" i="10"/>
  <c r="U10" i="10"/>
  <c r="T10" i="10"/>
  <c r="S10" i="10"/>
  <c r="R10" i="10"/>
  <c r="Q10" i="10"/>
  <c r="P10" i="10"/>
  <c r="O10" i="10"/>
  <c r="N10" i="10"/>
  <c r="M10" i="10"/>
  <c r="AA14" i="9"/>
  <c r="AA13" i="9"/>
  <c r="AA12" i="9"/>
  <c r="AA11" i="9"/>
  <c r="AA10" i="9"/>
  <c r="Q24" i="10" l="1"/>
  <c r="AC9" i="10"/>
  <c r="AB9" i="10"/>
  <c r="AD31" i="10"/>
  <c r="AD24" i="10" s="1"/>
  <c r="S9" i="10"/>
  <c r="R9" i="10"/>
  <c r="Z9" i="10"/>
  <c r="Q9" i="10"/>
  <c r="AE9" i="10"/>
  <c r="AA9" i="10"/>
  <c r="Y9" i="10"/>
  <c r="O9" i="10"/>
  <c r="N9" i="10"/>
  <c r="T14" i="10"/>
  <c r="T9" i="10" s="1"/>
  <c r="M9" i="10"/>
  <c r="AD14" i="10"/>
  <c r="AD9" i="10" s="1"/>
  <c r="W9" i="10"/>
  <c r="AE31" i="10"/>
  <c r="AE24" i="10" s="1"/>
  <c r="U31" i="10"/>
  <c r="U24" i="10" s="1"/>
  <c r="V14" i="9" l="1"/>
  <c r="V13" i="9"/>
  <c r="V12" i="9"/>
  <c r="V11" i="9"/>
  <c r="V10" i="9"/>
  <c r="Q14" i="9"/>
  <c r="Q13" i="9"/>
  <c r="Q12" i="9"/>
  <c r="Q11" i="9"/>
  <c r="Q10" i="9"/>
  <c r="K64" i="12"/>
  <c r="J64" i="12"/>
  <c r="K47" i="12"/>
  <c r="K45" i="12" s="1"/>
  <c r="K44" i="12" s="1"/>
  <c r="J47" i="12"/>
  <c r="J45" i="12" s="1"/>
  <c r="J44" i="12" s="1"/>
  <c r="K34" i="12"/>
  <c r="J34" i="12"/>
  <c r="K28" i="12"/>
  <c r="K11" i="12" s="1"/>
  <c r="K10" i="12" s="1"/>
  <c r="J28" i="12"/>
  <c r="J27" i="12"/>
  <c r="H11" i="43"/>
  <c r="H10" i="43"/>
  <c r="H9" i="43"/>
  <c r="R73" i="47"/>
  <c r="Q73" i="47"/>
  <c r="R65" i="47"/>
  <c r="R59" i="47"/>
  <c r="Q59" i="47"/>
  <c r="R54" i="47"/>
  <c r="Q54" i="47"/>
  <c r="R48" i="47"/>
  <c r="Q48" i="47"/>
  <c r="R37" i="47"/>
  <c r="Q37" i="47"/>
  <c r="R33" i="47"/>
  <c r="Q33" i="47"/>
  <c r="R24" i="47"/>
  <c r="R18" i="47" s="1"/>
  <c r="R14" i="47" s="1"/>
  <c r="R9" i="47" s="1"/>
  <c r="Q24" i="47"/>
  <c r="Q18" i="47" s="1"/>
  <c r="R15" i="47"/>
  <c r="Q15" i="47"/>
  <c r="R10" i="47"/>
  <c r="Q10" i="47"/>
  <c r="O73" i="47"/>
  <c r="N73" i="47"/>
  <c r="O65" i="47"/>
  <c r="O59" i="47"/>
  <c r="N59" i="47"/>
  <c r="O54" i="47"/>
  <c r="N54" i="47"/>
  <c r="O48" i="47"/>
  <c r="N48" i="47"/>
  <c r="O40" i="47"/>
  <c r="N40" i="47"/>
  <c r="N37" i="47" s="1"/>
  <c r="O37" i="47"/>
  <c r="O36" i="47"/>
  <c r="N36" i="47"/>
  <c r="O33" i="47"/>
  <c r="N33" i="47"/>
  <c r="O24" i="47"/>
  <c r="N24" i="47"/>
  <c r="O18" i="47"/>
  <c r="N18" i="47"/>
  <c r="O15" i="47"/>
  <c r="N15" i="47"/>
  <c r="O10" i="47"/>
  <c r="N10" i="47"/>
  <c r="L73" i="47"/>
  <c r="K73" i="47"/>
  <c r="L65" i="47"/>
  <c r="L59" i="47"/>
  <c r="K59" i="47"/>
  <c r="L54" i="47"/>
  <c r="K54" i="47"/>
  <c r="L48" i="47"/>
  <c r="K48" i="47"/>
  <c r="L37" i="47"/>
  <c r="K37" i="47"/>
  <c r="L33" i="47"/>
  <c r="K33" i="47"/>
  <c r="L24" i="47"/>
  <c r="L18" i="47" s="1"/>
  <c r="K24" i="47"/>
  <c r="K18" i="47" s="1"/>
  <c r="L15" i="47"/>
  <c r="L14" i="47" s="1"/>
  <c r="K15" i="47"/>
  <c r="L10" i="47"/>
  <c r="K10" i="47"/>
  <c r="Q76" i="40"/>
  <c r="Q67" i="40"/>
  <c r="Q61" i="40"/>
  <c r="P61" i="40"/>
  <c r="Q56" i="40"/>
  <c r="P56" i="40"/>
  <c r="Q50" i="40"/>
  <c r="P50" i="40"/>
  <c r="P46" i="40"/>
  <c r="Q39" i="40"/>
  <c r="P39" i="40"/>
  <c r="Q35" i="40"/>
  <c r="P35" i="40"/>
  <c r="Q26" i="40"/>
  <c r="Q20" i="40" s="1"/>
  <c r="P26" i="40"/>
  <c r="P20" i="40" s="1"/>
  <c r="Q17" i="40"/>
  <c r="P17" i="40"/>
  <c r="Q12" i="40"/>
  <c r="P12" i="40"/>
  <c r="N76" i="40"/>
  <c r="N67" i="40"/>
  <c r="N61" i="40"/>
  <c r="M61" i="40"/>
  <c r="N56" i="40"/>
  <c r="M56" i="40"/>
  <c r="N51" i="40"/>
  <c r="N50" i="40"/>
  <c r="M50" i="40"/>
  <c r="N39" i="40"/>
  <c r="M39" i="40"/>
  <c r="N38" i="40"/>
  <c r="M38" i="40"/>
  <c r="N35" i="40"/>
  <c r="M35" i="40"/>
  <c r="N26" i="40"/>
  <c r="N20" i="40" s="1"/>
  <c r="M26" i="40"/>
  <c r="M20" i="40"/>
  <c r="N17" i="40"/>
  <c r="M17" i="40"/>
  <c r="N12" i="40"/>
  <c r="M12" i="40"/>
  <c r="K76" i="40"/>
  <c r="K67" i="40"/>
  <c r="K61" i="40"/>
  <c r="J61" i="40"/>
  <c r="K56" i="40"/>
  <c r="J56" i="40"/>
  <c r="K50" i="40"/>
  <c r="J50" i="40"/>
  <c r="K46" i="40"/>
  <c r="K39" i="40"/>
  <c r="J39" i="40"/>
  <c r="K38" i="40"/>
  <c r="J38" i="40"/>
  <c r="K35" i="40"/>
  <c r="J35" i="40"/>
  <c r="K32" i="40"/>
  <c r="K26" i="40"/>
  <c r="J26" i="40"/>
  <c r="J24" i="40"/>
  <c r="K21" i="40"/>
  <c r="K20" i="40" s="1"/>
  <c r="K17" i="40"/>
  <c r="J17" i="40"/>
  <c r="K12" i="40"/>
  <c r="J12" i="40"/>
  <c r="G17" i="7"/>
  <c r="H14" i="7"/>
  <c r="G14" i="7"/>
  <c r="O31" i="7"/>
  <c r="N31" i="7"/>
  <c r="O27" i="7"/>
  <c r="O26" i="7" s="1"/>
  <c r="N27" i="7"/>
  <c r="N26" i="7" s="1"/>
  <c r="O19" i="7"/>
  <c r="N19" i="7"/>
  <c r="O16" i="7"/>
  <c r="N16" i="7"/>
  <c r="O12" i="7"/>
  <c r="N12" i="7"/>
  <c r="R31" i="7"/>
  <c r="Q31" i="7"/>
  <c r="R27" i="7"/>
  <c r="Q27" i="7"/>
  <c r="Q26" i="7" s="1"/>
  <c r="R26" i="7"/>
  <c r="R19" i="7"/>
  <c r="Q19" i="7"/>
  <c r="R17" i="7"/>
  <c r="R16" i="7" s="1"/>
  <c r="Q16" i="7"/>
  <c r="R12" i="7"/>
  <c r="Q12" i="7"/>
  <c r="Q16" i="40" l="1"/>
  <c r="Q11" i="40" s="1"/>
  <c r="O9" i="47"/>
  <c r="H17" i="7"/>
  <c r="O14" i="47"/>
  <c r="Q14" i="47"/>
  <c r="Q9" i="47" s="1"/>
  <c r="P16" i="40"/>
  <c r="L9" i="47"/>
  <c r="J20" i="40"/>
  <c r="N14" i="47"/>
  <c r="N9" i="47" s="1"/>
  <c r="O10" i="7"/>
  <c r="O9" i="7" s="1"/>
  <c r="K16" i="40"/>
  <c r="M16" i="40"/>
  <c r="M11" i="40" s="1"/>
  <c r="J11" i="12"/>
  <c r="J10" i="12" s="1"/>
  <c r="K14" i="47"/>
  <c r="N16" i="40"/>
  <c r="N11" i="40" s="1"/>
  <c r="N10" i="7"/>
  <c r="N9" i="7" s="1"/>
  <c r="Q10" i="7"/>
  <c r="Q9" i="7" s="1"/>
  <c r="R10" i="7"/>
  <c r="R9" i="7" s="1"/>
  <c r="P11" i="40" l="1"/>
  <c r="G11" i="40" s="1"/>
  <c r="G16" i="40"/>
  <c r="J16" i="40"/>
  <c r="K11" i="40"/>
  <c r="K9" i="47"/>
  <c r="J11" i="40" l="1"/>
  <c r="C12" i="7" l="1"/>
  <c r="D12" i="7"/>
  <c r="G21" i="43" l="1"/>
  <c r="H21" i="43"/>
  <c r="G47" i="12" l="1"/>
  <c r="J31" i="10" l="1"/>
  <c r="I31" i="10"/>
  <c r="J16" i="10"/>
  <c r="J15" i="10"/>
  <c r="I16" i="10"/>
  <c r="I15" i="10"/>
  <c r="I11" i="9"/>
  <c r="I12" i="9"/>
  <c r="I13" i="9"/>
  <c r="I14" i="9"/>
  <c r="I15" i="9"/>
  <c r="I10" i="9"/>
  <c r="C25" i="50" l="1"/>
  <c r="C23" i="50"/>
  <c r="C21" i="50"/>
  <c r="C19" i="50"/>
  <c r="C18" i="50"/>
  <c r="C12" i="50"/>
  <c r="A6" i="50" l="1"/>
  <c r="A5" i="35" l="1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I92" i="35" l="1"/>
  <c r="I16" i="44" l="1"/>
  <c r="H16" i="44"/>
  <c r="D31" i="7" l="1"/>
  <c r="C31" i="7"/>
  <c r="D27" i="7"/>
  <c r="D26" i="7" s="1"/>
  <c r="C27" i="7"/>
  <c r="C26" i="7" s="1"/>
  <c r="D19" i="7"/>
  <c r="C19" i="7"/>
  <c r="D16" i="7"/>
  <c r="D10" i="7" s="1"/>
  <c r="D9" i="7" s="1"/>
  <c r="C16" i="7"/>
  <c r="D31" i="3"/>
  <c r="C31" i="3"/>
  <c r="C24" i="50" s="1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H10" i="12" s="1"/>
  <c r="H11" i="12" s="1"/>
  <c r="D14" i="47"/>
  <c r="D9" i="47" s="1"/>
  <c r="H14" i="12" s="1"/>
  <c r="H15" i="12" s="1"/>
  <c r="L24" i="46"/>
  <c r="H22" i="45"/>
  <c r="G22" i="45"/>
  <c r="I21" i="43"/>
  <c r="D27" i="3" l="1"/>
  <c r="C27" i="3"/>
  <c r="C22" i="50" s="1"/>
  <c r="C20" i="50" s="1"/>
  <c r="C12" i="3" l="1"/>
  <c r="D76" i="40" l="1"/>
  <c r="D67" i="40"/>
  <c r="D61" i="40"/>
  <c r="C61" i="40"/>
  <c r="D56" i="40"/>
  <c r="C56" i="40"/>
  <c r="D50" i="40"/>
  <c r="C50" i="40"/>
  <c r="D39" i="40"/>
  <c r="C11" i="50" s="1"/>
  <c r="C39" i="40"/>
  <c r="D35" i="40"/>
  <c r="C35" i="40"/>
  <c r="D26" i="40"/>
  <c r="D20" i="40" s="1"/>
  <c r="C26" i="40"/>
  <c r="C20" i="40" s="1"/>
  <c r="D17" i="40"/>
  <c r="C14" i="50" s="1"/>
  <c r="C17" i="40"/>
  <c r="D12" i="40"/>
  <c r="C13" i="50" s="1"/>
  <c r="C12" i="40"/>
  <c r="A6" i="40"/>
  <c r="C16" i="40" l="1"/>
  <c r="C11" i="40" s="1"/>
  <c r="D16" i="40"/>
  <c r="D11" i="40" s="1"/>
  <c r="C10" i="50" l="1"/>
  <c r="H39" i="10"/>
  <c r="H36" i="10" s="1"/>
  <c r="H32" i="10"/>
  <c r="H24" i="10"/>
  <c r="H19" i="10"/>
  <c r="H17" i="10" s="1"/>
  <c r="H14" i="10"/>
  <c r="A4" i="39" l="1"/>
  <c r="A4" i="35" l="1"/>
  <c r="D25" i="27" l="1"/>
  <c r="C25" i="27"/>
  <c r="G20" i="18" l="1"/>
  <c r="G21" i="18" s="1"/>
  <c r="G19" i="18"/>
  <c r="G18" i="18"/>
  <c r="G17" i="18"/>
  <c r="G16" i="18"/>
  <c r="G15" i="18"/>
  <c r="G14" i="18"/>
  <c r="G13" i="18"/>
  <c r="G12" i="18"/>
  <c r="G10" i="18"/>
  <c r="G11" i="18" s="1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C9" i="3" l="1"/>
  <c r="G10" i="12" s="1"/>
  <c r="G11" i="12" s="1"/>
  <c r="G12" i="12" s="1"/>
  <c r="D9" i="3"/>
  <c r="C17" i="50" l="1"/>
  <c r="G14" i="12"/>
  <c r="G15" i="12" s="1"/>
</calcChain>
</file>

<file path=xl/sharedStrings.xml><?xml version="1.0" encoding="utf-8"?>
<sst xmlns="http://schemas.openxmlformats.org/spreadsheetml/2006/main" count="3002" uniqueCount="1160">
  <si>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</si>
  <si>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</si>
  <si>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</si>
  <si>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</si>
  <si>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</si>
  <si>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</si>
  <si>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</si>
  <si>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</si>
  <si>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</si>
  <si>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</si>
  <si>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</si>
  <si>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</si>
  <si>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</si>
  <si>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</si>
  <si>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</si>
  <si>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</si>
  <si>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</si>
  <si>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</si>
  <si>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</si>
  <si>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</si>
  <si>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</si>
  <si>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</si>
  <si>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</si>
  <si>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</si>
  <si>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</si>
  <si>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</si>
  <si>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</si>
  <si>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</si>
  <si>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</si>
  <si>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</si>
  <si>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</si>
  <si>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</si>
  <si>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</si>
  <si>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</si>
  <si>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</si>
  <si>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</si>
  <si>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</si>
  <si>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</si>
  <si>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</si>
  <si>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</si>
  <si>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</si>
  <si>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</si>
  <si>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</si>
  <si>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</si>
  <si>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</si>
  <si>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</si>
  <si>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</si>
  <si>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</si>
  <si>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</si>
  <si>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</si>
  <si>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</si>
  <si>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</si>
  <si>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</si>
  <si>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</si>
  <si>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</si>
  <si>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</si>
  <si>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</si>
  <si>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</si>
  <si>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</si>
  <si>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</si>
  <si>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</si>
  <si>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</si>
  <si>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</si>
  <si>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</si>
  <si>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</si>
  <si>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</si>
  <si>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</si>
  <si>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</si>
  <si>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</si>
  <si>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</si>
  <si>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</si>
  <si>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</si>
  <si>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</si>
  <si>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</si>
  <si>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</si>
  <si>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</si>
  <si>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</si>
  <si>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</si>
  <si>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</si>
  <si>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</si>
  <si>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</si>
  <si>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</si>
  <si>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</si>
  <si>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</si>
  <si>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</si>
  <si>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</si>
  <si>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</si>
  <si>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</si>
  <si>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</si>
  <si>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</si>
  <si>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</si>
  <si>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</si>
  <si>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</si>
  <si>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</si>
  <si>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</si>
  <si>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</si>
  <si>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</si>
  <si>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</si>
  <si>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</si>
  <si>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</si>
  <si>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</si>
  <si>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</si>
  <si>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</si>
  <si>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</si>
  <si>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</si>
  <si>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</si>
  <si>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</si>
  <si>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</si>
  <si>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</si>
  <si>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</si>
  <si>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</si>
  <si>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</si>
  <si>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</si>
  <si>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</si>
  <si>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</si>
  <si>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</si>
  <si>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</si>
  <si>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</si>
  <si>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</si>
  <si>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</si>
  <si>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</si>
  <si>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</si>
  <si>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</si>
  <si>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</si>
  <si>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</si>
  <si>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</si>
  <si>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</si>
  <si>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</si>
  <si>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</si>
  <si>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</si>
  <si>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</si>
  <si>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</si>
  <si>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</si>
  <si>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</si>
  <si>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</si>
  <si>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</si>
  <si>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</si>
  <si>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</si>
  <si>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</si>
  <si>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</si>
  <si>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</si>
  <si>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</si>
  <si>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</si>
  <si>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</si>
  <si>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</si>
  <si>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</si>
  <si>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</si>
  <si>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</si>
  <si>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</si>
  <si>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</si>
  <si>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</si>
  <si>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</si>
  <si>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</si>
  <si>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</si>
  <si>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</si>
  <si>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</si>
  <si>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</si>
  <si>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</si>
  <si>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</si>
  <si>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</si>
  <si>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</si>
  <si>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</si>
  <si>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</si>
  <si>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</si>
  <si>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</si>
  <si>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</si>
  <si>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</si>
  <si>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</si>
  <si>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</si>
  <si>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</si>
  <si>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</si>
  <si>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</si>
  <si>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</si>
  <si>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</si>
  <si>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</si>
  <si>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</si>
  <si>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</si>
  <si>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</si>
  <si>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</si>
  <si>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</si>
  <si>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</si>
  <si>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</si>
  <si>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</si>
  <si>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</si>
  <si>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</si>
  <si>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</si>
  <si>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</si>
  <si>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</si>
  <si>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</si>
  <si>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</si>
  <si>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</si>
  <si>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</si>
  <si>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</si>
  <si>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</si>
  <si>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</si>
  <si>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</si>
  <si>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</si>
  <si>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</si>
  <si>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</si>
  <si>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</si>
  <si>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</si>
  <si>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</si>
  <si>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</si>
  <si>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</si>
  <si>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</si>
  <si>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</si>
  <si>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</si>
  <si>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</si>
  <si>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</si>
  <si>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</si>
  <si>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</si>
  <si>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</si>
  <si>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</si>
  <si>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</si>
  <si>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</si>
  <si>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</si>
  <si>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</si>
  <si>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</si>
  <si>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</si>
  <si>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</si>
  <si>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</si>
  <si>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</si>
  <si>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</si>
  <si>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</si>
  <si>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</si>
  <si>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</si>
  <si>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</si>
  <si>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</si>
  <si>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</si>
  <si>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</si>
  <si>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</si>
  <si>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</si>
  <si>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</si>
  <si>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</si>
  <si>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</si>
  <si>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</si>
  <si>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</si>
  <si>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</si>
  <si>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</si>
  <si>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</si>
  <si>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</si>
  <si>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</si>
  <si>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</si>
  <si>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</si>
  <si>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</si>
  <si>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</si>
  <si>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</si>
  <si>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</si>
  <si>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</si>
  <si>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</si>
  <si>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</si>
  <si>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</si>
  <si>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</si>
  <si>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</si>
  <si>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</si>
  <si>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</si>
  <si>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</si>
  <si>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</si>
  <si>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</si>
  <si>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</si>
  <si>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</si>
  <si>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</si>
  <si>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</si>
  <si>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</si>
  <si>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</si>
  <si>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</si>
  <si>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</si>
  <si>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</si>
  <si>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</si>
  <si>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</si>
  <si>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</si>
  <si>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</si>
  <si>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</si>
  <si>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</si>
  <si>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</si>
  <si>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</si>
  <si>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</si>
  <si>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</si>
  <si>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</si>
  <si>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</si>
  <si>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</si>
  <si>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</si>
  <si>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</si>
  <si>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</si>
  <si>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</si>
  <si>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</si>
  <si>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</si>
  <si>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</si>
  <si>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</si>
  <si>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</si>
  <si>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</si>
  <si>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</si>
  <si>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</si>
  <si>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</si>
  <si>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</si>
  <si>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</si>
  <si>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</si>
  <si>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</si>
  <si>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</si>
  <si>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</si>
  <si>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</si>
  <si>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</si>
  <si>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</si>
  <si>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</si>
  <si>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</si>
  <si>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</si>
  <si>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</si>
  <si>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</si>
  <si>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</si>
  <si>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</si>
  <si>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</si>
  <si>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</si>
  <si>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</si>
  <si>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</si>
  <si>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</si>
  <si>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</si>
  <si>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</si>
  <si>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</si>
  <si>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</si>
  <si>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</si>
  <si>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</si>
  <si>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</si>
  <si>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</si>
  <si>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</si>
  <si>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</si>
  <si>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</si>
  <si>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</si>
  <si>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</si>
  <si>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</si>
  <si>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</si>
  <si>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</si>
  <si>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</si>
  <si>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</si>
  <si>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</si>
  <si>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</si>
  <si>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</si>
  <si>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</si>
  <si>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</si>
  <si>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</si>
  <si>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</si>
  <si>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</si>
  <si>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</si>
  <si>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</si>
  <si>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</si>
  <si>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</si>
  <si>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</si>
  <si>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</si>
  <si>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</si>
  <si>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</si>
  <si>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</si>
  <si>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</si>
  <si>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</si>
  <si>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</si>
  <si>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</si>
  <si>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</si>
  <si>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</si>
  <si>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</si>
  <si>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</si>
  <si>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</si>
  <si>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</si>
  <si>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</si>
  <si>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</si>
  <si>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</si>
  <si>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</si>
  <si>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</si>
  <si>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</si>
  <si>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</si>
  <si>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</si>
  <si>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</si>
  <si>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</si>
  <si>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</si>
  <si>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</si>
  <si>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</si>
  <si>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</si>
  <si>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</si>
  <si>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</si>
  <si>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</si>
  <si>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</si>
  <si>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</si>
  <si>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</si>
  <si>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</si>
  <si>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</si>
  <si>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</si>
  <si>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</si>
  <si>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</si>
  <si>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</si>
  <si>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</si>
  <si>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</si>
  <si>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</si>
  <si>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</si>
  <si>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</si>
  <si>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</si>
  <si>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</si>
  <si>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</si>
  <si>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</si>
  <si>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</si>
  <si>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</si>
  <si>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</si>
  <si>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</si>
  <si>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</si>
  <si>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</si>
  <si>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</si>
  <si>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</si>
  <si>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</si>
  <si>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</si>
  <si>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</si>
  <si>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</si>
  <si>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</si>
  <si>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</si>
  <si>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</si>
  <si>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</si>
  <si>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</si>
  <si>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</si>
  <si>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</si>
  <si>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</si>
  <si>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</si>
  <si>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</si>
  <si>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</si>
  <si>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</si>
  <si>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</si>
  <si>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</si>
  <si>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</si>
  <si>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</si>
  <si>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</si>
  <si>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</si>
  <si>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</si>
  <si>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</si>
  <si>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</si>
  <si>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</si>
  <si>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</si>
  <si>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</si>
  <si>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</si>
  <si>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</si>
  <si>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</si>
  <si>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</si>
  <si>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</si>
  <si>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</si>
  <si>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</si>
  <si>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</si>
  <si>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</si>
  <si>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</si>
  <si>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</si>
  <si>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</si>
  <si>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</si>
  <si>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</si>
  <si>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</si>
  <si>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</si>
  <si>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</si>
  <si>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</si>
  <si>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</si>
  <si>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</si>
  <si>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</si>
  <si>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</si>
  <si>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</si>
  <si>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</si>
  <si>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</si>
  <si>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</si>
  <si>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</si>
  <si>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</si>
  <si>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</si>
  <si>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</si>
  <si>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</si>
  <si>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</si>
  <si>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</si>
  <si>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</si>
  <si>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</si>
  <si>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</si>
  <si>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</si>
  <si>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</si>
  <si>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</si>
  <si>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</si>
  <si>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</si>
  <si>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</si>
  <si>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</si>
  <si>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</si>
  <si>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</si>
  <si>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</si>
  <si>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მპგ ,, ქართული ოცნება დემოკრატიული საქართველო"</t>
  </si>
  <si>
    <t>ბანკი ქართუ</t>
  </si>
  <si>
    <t>GE51CR0000000004933608</t>
  </si>
  <si>
    <t>GEL</t>
  </si>
  <si>
    <t>5/16/2012</t>
  </si>
  <si>
    <t>GE72CR0000000004933618</t>
  </si>
  <si>
    <t>USD</t>
  </si>
  <si>
    <t>EURO</t>
  </si>
  <si>
    <t>GE09CR0000002049644506</t>
  </si>
  <si>
    <t>08/24/2016</t>
  </si>
  <si>
    <t>GE78CR0000002049654516</t>
  </si>
  <si>
    <t>GE29CR0000002049664516</t>
  </si>
  <si>
    <t>ინტერნეტ-რეკლამს ხრჯი</t>
  </si>
  <si>
    <t>FACEBOOK</t>
  </si>
  <si>
    <t>მ.პ.გ. ქართული ოცნება</t>
  </si>
  <si>
    <t>საკუთრება</t>
  </si>
  <si>
    <t>მსუბუქი მაღალი გამავლობის</t>
  </si>
  <si>
    <t>ტოიოტა</t>
  </si>
  <si>
    <t>PRADO</t>
  </si>
  <si>
    <t>FFT-388</t>
  </si>
  <si>
    <t>05/14/2013</t>
  </si>
  <si>
    <t>სედანი</t>
  </si>
  <si>
    <t>ჰიუნდაი</t>
  </si>
  <si>
    <t>ACCENT</t>
  </si>
  <si>
    <t>CC488GG</t>
  </si>
  <si>
    <t>06,02,2016</t>
  </si>
  <si>
    <t>CC480GG</t>
  </si>
  <si>
    <t>CC484GG</t>
  </si>
  <si>
    <t>CC477GG</t>
  </si>
  <si>
    <t>CC811GG</t>
  </si>
  <si>
    <t>CC807GG</t>
  </si>
  <si>
    <t>CC805GG</t>
  </si>
  <si>
    <t>CC804GG</t>
  </si>
  <si>
    <t>CC822GG</t>
  </si>
  <si>
    <t>CC799GG</t>
  </si>
  <si>
    <t>იჯარა</t>
  </si>
  <si>
    <t>08.10.2012</t>
  </si>
  <si>
    <t>PORTEK IC VE DIS TICARET MURAT KAHR IMAN</t>
  </si>
  <si>
    <t>მაისურების მოწოდება</t>
  </si>
  <si>
    <t>08.18.2012</t>
  </si>
  <si>
    <t>შ.პ.ს. ,,ქართული ოცნება"</t>
  </si>
  <si>
    <t xml:space="preserve">სასცენო აპარატურითა და ტექნიკური მოწყობილობებით მომსახურეობის გაწევა </t>
  </si>
  <si>
    <t>06.24.2012</t>
  </si>
  <si>
    <t>ირინა თავაძე</t>
  </si>
  <si>
    <t>სიების დაზუსტება</t>
  </si>
  <si>
    <t>06.23.2012</t>
  </si>
  <si>
    <t>რეზო ბექაური</t>
  </si>
  <si>
    <t>ანზორ ბედოიძე</t>
  </si>
  <si>
    <t>მელანო შარაბიძე</t>
  </si>
  <si>
    <t>ნოდარ ბერიძე</t>
  </si>
  <si>
    <t>გიგა ზოიძე</t>
  </si>
  <si>
    <t>ანზორ არჯევანიძე</t>
  </si>
  <si>
    <t>დალი ხოზრევანიძე</t>
  </si>
  <si>
    <t>ზაზა გვიანიძე</t>
  </si>
  <si>
    <t>თამარ შავგულიძე</t>
  </si>
  <si>
    <t>60001001432</t>
  </si>
  <si>
    <t>ირინა ცინაძე</t>
  </si>
  <si>
    <t>60001111304</t>
  </si>
  <si>
    <t>ნუნუ გურგენიძე</t>
  </si>
  <si>
    <t>60001071512</t>
  </si>
  <si>
    <t>რამაზ ქედელიძე</t>
  </si>
  <si>
    <t>61009005218</t>
  </si>
  <si>
    <t>მარინე არძენაძე</t>
  </si>
  <si>
    <t>61003004822</t>
  </si>
  <si>
    <t>06.25.2012</t>
  </si>
  <si>
    <t>ნოდარ ცეცხლაძე</t>
  </si>
  <si>
    <t>61009023503</t>
  </si>
  <si>
    <t>06.28.2012</t>
  </si>
  <si>
    <t>გენად ცეცხლაძე</t>
  </si>
  <si>
    <t>61009005900</t>
  </si>
  <si>
    <t>ზურაბ დიასამიძე</t>
  </si>
  <si>
    <t>61004058876</t>
  </si>
  <si>
    <t>გოჩა ნაკაშიძე</t>
  </si>
  <si>
    <t>61004056689</t>
  </si>
  <si>
    <t>მურად აბაშიძე</t>
  </si>
  <si>
    <t>61005005709</t>
  </si>
  <si>
    <t>როინ ზოიძე</t>
  </si>
  <si>
    <t>61004049101</t>
  </si>
  <si>
    <t>ირაკლი ქავჯარაძე</t>
  </si>
  <si>
    <t>61005003109</t>
  </si>
  <si>
    <t>ლელა მანელიშვილი</t>
  </si>
  <si>
    <t>61004027164</t>
  </si>
  <si>
    <t>ეთერ გოგმაჩაძე</t>
  </si>
  <si>
    <t>61004038104</t>
  </si>
  <si>
    <t>ნატო ცეცხლაძე</t>
  </si>
  <si>
    <t>61004023191</t>
  </si>
  <si>
    <t>გიორგი კლდიაშვილი</t>
  </si>
  <si>
    <t>21001019627</t>
  </si>
  <si>
    <t>თეა წიკლაური</t>
  </si>
  <si>
    <t>01001033664</t>
  </si>
  <si>
    <t>06.29.2012</t>
  </si>
  <si>
    <t>ეკატერინე ზოიძე</t>
  </si>
  <si>
    <t>61009007589</t>
  </si>
  <si>
    <t>06.05.2012</t>
  </si>
  <si>
    <t>დათუნა ხუბუა</t>
  </si>
  <si>
    <t>19001012016</t>
  </si>
  <si>
    <t>ლამარა წურწუმია</t>
  </si>
  <si>
    <t>19001068241</t>
  </si>
  <si>
    <t>ხვიჩა ბერიშვილი</t>
  </si>
  <si>
    <t>19001005233</t>
  </si>
  <si>
    <t>ნანა ფარცვანია</t>
  </si>
  <si>
    <t>62001032139</t>
  </si>
  <si>
    <t>მარინა ანთია</t>
  </si>
  <si>
    <t>19001032722</t>
  </si>
  <si>
    <t>ლანა ჯიქია</t>
  </si>
  <si>
    <t>19001086863</t>
  </si>
  <si>
    <t>ზვიად კორკელია</t>
  </si>
  <si>
    <t>19001104624</t>
  </si>
  <si>
    <t>08.01.2012</t>
  </si>
  <si>
    <t>ყაველაშვილი ნოდარი</t>
  </si>
  <si>
    <t>62007003108</t>
  </si>
  <si>
    <t>ა/ტ მომსახურეობა</t>
  </si>
  <si>
    <t>ბაირამოვი მეითა</t>
  </si>
  <si>
    <t>43001005510</t>
  </si>
  <si>
    <t>08.15.2012</t>
  </si>
  <si>
    <t>ბაშარული იოსებ</t>
  </si>
  <si>
    <t>01025004372</t>
  </si>
  <si>
    <t>ჩიტორელიძე კობა</t>
  </si>
  <si>
    <t>18001002161</t>
  </si>
  <si>
    <t>ბენიძე გივი</t>
  </si>
  <si>
    <t>62001004482</t>
  </si>
  <si>
    <t>ჩიტრეკაშვილი გიორგი</t>
  </si>
  <si>
    <t>12001008929</t>
  </si>
  <si>
    <t>დეკანოზიშვილი ზურაბი</t>
  </si>
  <si>
    <t>12001031537</t>
  </si>
  <si>
    <t>08.24.2012</t>
  </si>
  <si>
    <t>შპს „ერგი პლიუსი“</t>
  </si>
  <si>
    <t>ბეჭედი და ფაქსი</t>
  </si>
  <si>
    <t>09.05.2012</t>
  </si>
  <si>
    <t>TMD Holdings, LLC</t>
  </si>
  <si>
    <t>დისკების მოწოდება</t>
  </si>
  <si>
    <t>ფოლადაშვილი სვეტლანა</t>
  </si>
  <si>
    <t>01013013356</t>
  </si>
  <si>
    <t>ფართის იჯარა</t>
  </si>
  <si>
    <t>08.13.2012</t>
  </si>
  <si>
    <t>გვრიტიშვილი ელეონორა</t>
  </si>
  <si>
    <t>01008010173</t>
  </si>
  <si>
    <t>08.09.2012</t>
  </si>
  <si>
    <t>ნაკუდაიძე ბელა</t>
  </si>
  <si>
    <t>31001014526</t>
  </si>
  <si>
    <t>09.30.2012</t>
  </si>
  <si>
    <t>კორძაძე ლიდა</t>
  </si>
  <si>
    <t>37001009073</t>
  </si>
  <si>
    <t>09.25.2012</t>
  </si>
  <si>
    <t>YALCIN TRANS ULUS NAK</t>
  </si>
  <si>
    <t>ბუშტები, მაისურები</t>
  </si>
  <si>
    <t>09.20.2012</t>
  </si>
  <si>
    <t xml:space="preserve">შპს პოლიგრაფ ექსტრა </t>
  </si>
  <si>
    <t>404957070</t>
  </si>
  <si>
    <t>ბეჭდვითი მომსახურეობა</t>
  </si>
  <si>
    <t>09.18.2012</t>
  </si>
  <si>
    <t>ფიფია მარინე</t>
  </si>
  <si>
    <t>19001094964</t>
  </si>
  <si>
    <t>კორდინატორის მომსახურება</t>
  </si>
  <si>
    <t>09.24.2012</t>
  </si>
  <si>
    <t>შენგელია ლერი</t>
  </si>
  <si>
    <t>62006007723</t>
  </si>
  <si>
    <t>ლაღიძე ნანა</t>
  </si>
  <si>
    <t>60001006326</t>
  </si>
  <si>
    <t>ჩოკანდარიან ვარდან</t>
  </si>
  <si>
    <t>07001012469</t>
  </si>
  <si>
    <t>მღებრიშვილი ელისო</t>
  </si>
  <si>
    <t>360012012436</t>
  </si>
  <si>
    <t>ლეგაშვილი ვიქტორ</t>
  </si>
  <si>
    <t>45001002714</t>
  </si>
  <si>
    <t>10.05.2012</t>
  </si>
  <si>
    <t>Shanghai ZhinQun Trading Co. LTD</t>
  </si>
  <si>
    <t>სილიკონის სამაჯურები</t>
  </si>
  <si>
    <t>09.01.2012</t>
  </si>
  <si>
    <t>ჯანბერიძე ქეთევან</t>
  </si>
  <si>
    <t>01025007106</t>
  </si>
  <si>
    <t>05.30.2012</t>
  </si>
  <si>
    <t>შპს კანცლერი</t>
  </si>
  <si>
    <t>215135191</t>
  </si>
  <si>
    <t>შტამპის ღირებულება</t>
  </si>
  <si>
    <t>05.24.2014</t>
  </si>
  <si>
    <t>შპს „ელიტა ბურჯი“</t>
  </si>
  <si>
    <t>206120437</t>
  </si>
  <si>
    <t>სასცენო მოწყობილობით მომსახურება</t>
  </si>
  <si>
    <t>13.08.2012</t>
  </si>
  <si>
    <t>ნიკოლოზ მესაბლიშვილი</t>
  </si>
  <si>
    <t>ოფისის იჯარა</t>
  </si>
  <si>
    <t>06.26.2014</t>
  </si>
  <si>
    <t>შპს რუსთაველი ფროფერთი</t>
  </si>
  <si>
    <t>404406166</t>
  </si>
  <si>
    <t>06.21.2014</t>
  </si>
  <si>
    <t>საფარიძე გივი ი/მ</t>
  </si>
  <si>
    <t>61006059524</t>
  </si>
  <si>
    <t>შპს ბატავტომობილე</t>
  </si>
  <si>
    <t>445408032</t>
  </si>
  <si>
    <t>შპს გიგანტი</t>
  </si>
  <si>
    <t>245433892</t>
  </si>
  <si>
    <t>ბერიძე რუსლან ი/მ</t>
  </si>
  <si>
    <t>61006041123</t>
  </si>
  <si>
    <t>ბერიძე მალხაზ ი/მ</t>
  </si>
  <si>
    <t>61007004472</t>
  </si>
  <si>
    <t>07.03.2014</t>
  </si>
  <si>
    <t>შპს სახლი ძველ ბათუმში</t>
  </si>
  <si>
    <t>445433610</t>
  </si>
  <si>
    <t>ხარაზი ნინო</t>
  </si>
  <si>
    <t>61001041764</t>
  </si>
  <si>
    <t>დიასამიძე ვახტანგ</t>
  </si>
  <si>
    <t>წილოსანი ლალი</t>
  </si>
  <si>
    <t>61003007945</t>
  </si>
  <si>
    <t>ართმელაძე დარეჯან</t>
  </si>
  <si>
    <t>61007004173</t>
  </si>
  <si>
    <t>ზაქარაძე ვაჟა</t>
  </si>
  <si>
    <t>61006042810</t>
  </si>
  <si>
    <t>გოგიბერიძე ნარი</t>
  </si>
  <si>
    <t>61003010439</t>
  </si>
  <si>
    <t>09.01.2016</t>
  </si>
  <si>
    <t>ა(ა)იპ წყალტუბოს მუნიციპალიტეტის კულტურის ცენტრი</t>
  </si>
  <si>
    <t>221286560</t>
  </si>
  <si>
    <t>სასცენო აპარატურით მომსახურება</t>
  </si>
  <si>
    <t>ა(ა)იპ ჩხოროწყუს მუნიციპალიტეტის ისტორიული მუზეუმი</t>
  </si>
  <si>
    <t>ფართის დათმობა</t>
  </si>
  <si>
    <t>ქ. თბილისი, ერეკლე II-ეს მოედანი #3</t>
  </si>
  <si>
    <t>01.18.03.035.004</t>
  </si>
  <si>
    <t>1 თვე</t>
  </si>
  <si>
    <t>205283637</t>
  </si>
  <si>
    <t>შპს ახალი კაპიტალი</t>
  </si>
  <si>
    <t>01.18.03.036.015</t>
  </si>
  <si>
    <t>202055122</t>
  </si>
  <si>
    <t>შპს ძველი უბანი</t>
  </si>
  <si>
    <t>ქ. თბილისი რუსთაველის ქ. #24/ ლაღიძის ქ. #1</t>
  </si>
  <si>
    <t>01.15.05.010.008.01.538</t>
  </si>
  <si>
    <t>2,5 თვე</t>
  </si>
  <si>
    <t>01017000815</t>
  </si>
  <si>
    <t xml:space="preserve">ჯიქია მედეია </t>
  </si>
  <si>
    <t>01017015694</t>
  </si>
  <si>
    <t xml:space="preserve">ჯიქია თამაზ </t>
  </si>
  <si>
    <t>ქ. თბილისი, ი. ჭვჭავაძის გამზ. #20 ბ. 3</t>
  </si>
  <si>
    <t>01.14.11.008.003.01.003</t>
  </si>
  <si>
    <t>01024081247</t>
  </si>
  <si>
    <t xml:space="preserve">ყარსელიშვილი ეკატერინე </t>
  </si>
  <si>
    <t>ქ. თბილისი, ალ. ყაზბეგის გამზირი #14 ბ. 2</t>
  </si>
  <si>
    <t>01.10.14.015.040.01.525</t>
  </si>
  <si>
    <t>01024044857</t>
  </si>
  <si>
    <t xml:space="preserve">ანდღულაძე მადონა </t>
  </si>
  <si>
    <t>ქ. თბილისი, მოედანი გულია, გვარდიის სამმართველოს მიმდებარედ</t>
  </si>
  <si>
    <t>01.18.09.004.002</t>
  </si>
  <si>
    <t>1,5 თვე</t>
  </si>
  <si>
    <t>შპს ემ თი ეი</t>
  </si>
  <si>
    <t>ქ. თბილისი, ქეთევან წამებულის ქ. #64-66</t>
  </si>
  <si>
    <t>01.17.13.034.024.01.02.001</t>
  </si>
  <si>
    <t>01027012281</t>
  </si>
  <si>
    <t xml:space="preserve">ბადალიანი ალექსანდრე </t>
  </si>
  <si>
    <t>ქ. თბილისი, ჯავახეთის ქუჩის და კალაბუნის გადაკვეთასთან</t>
  </si>
  <si>
    <t>01.19.36.001.080</t>
  </si>
  <si>
    <t>01024070244</t>
  </si>
  <si>
    <t xml:space="preserve">ნონიაშვილი ზურიკო </t>
  </si>
  <si>
    <t>10001005919</t>
  </si>
  <si>
    <t xml:space="preserve">ნონიაშვილი სანდრო </t>
  </si>
  <si>
    <t>ქ. თბილისი, ჩიტაიას ქ. #3 ბ. 2</t>
  </si>
  <si>
    <t>01.16.06.011.005.01.002</t>
  </si>
  <si>
    <t>01011061250</t>
  </si>
  <si>
    <t xml:space="preserve">ტრაპაიძე დარეჯან </t>
  </si>
  <si>
    <t>ქ. თბილისი, აკაკი წერეთლის გამზირი #61 ბ. #3</t>
  </si>
  <si>
    <t>01.13.06.008.016.01.003</t>
  </si>
  <si>
    <t>01024029757</t>
  </si>
  <si>
    <t xml:space="preserve">ლომკაცი ომარი </t>
  </si>
  <si>
    <t>ქ. თბილისი, ცოტნე დადიანის ქ. #141</t>
  </si>
  <si>
    <t>01.12.13.037.017.01.02.511</t>
  </si>
  <si>
    <t>01013004758</t>
  </si>
  <si>
    <t>ელიაური ლევან</t>
  </si>
  <si>
    <t>საგარეჯო, რუსთაველის ქ. #175</t>
  </si>
  <si>
    <t>55.12.76.027</t>
  </si>
  <si>
    <t xml:space="preserve">ქვლივიძე ეკატერინე </t>
  </si>
  <si>
    <t>ქ. გურჯაანი, სანაპიროს ქ. #10</t>
  </si>
  <si>
    <t>51.01.60.052.01.503</t>
  </si>
  <si>
    <t>13001007430</t>
  </si>
  <si>
    <t xml:space="preserve">მექერიშვილი ლევან </t>
  </si>
  <si>
    <t>ქ. წნორი, თავისუფლების ქ. #37</t>
  </si>
  <si>
    <t>56.04.54.045</t>
  </si>
  <si>
    <t>01008040230</t>
  </si>
  <si>
    <t xml:space="preserve">გელაშვილი ნაირა </t>
  </si>
  <si>
    <t>ქ. დედოფლისწყარო, ჰერეთის ქ. #74</t>
  </si>
  <si>
    <t>52.08.33.010</t>
  </si>
  <si>
    <t>8,5 თვე</t>
  </si>
  <si>
    <t>14001001035</t>
  </si>
  <si>
    <t xml:space="preserve">თამაზაშვილი თამაზ </t>
  </si>
  <si>
    <t>ქ. ლაგოდეხი, ქიზიყის ქ. #27</t>
  </si>
  <si>
    <t>54.01.54.157</t>
  </si>
  <si>
    <t xml:space="preserve">ჭუჭულაშვილი გიორგი </t>
  </si>
  <si>
    <t>ქ. ახმეტა, ჩოლოყაშვილის ქ. #52</t>
  </si>
  <si>
    <t>50.04.42.061.01.502</t>
  </si>
  <si>
    <t>08001003518</t>
  </si>
  <si>
    <t xml:space="preserve">მაისურაძე კობა </t>
  </si>
  <si>
    <t>ქ. რუსთავი, კოსტავას ქ. #14  ბ. #48</t>
  </si>
  <si>
    <t>02.05.06.667.01.048</t>
  </si>
  <si>
    <t>35001024663</t>
  </si>
  <si>
    <t xml:space="preserve">კობრეშვილი თათია </t>
  </si>
  <si>
    <t>ქ. დმანისი, 9 აპრილის ქ. #67</t>
  </si>
  <si>
    <t>82.01.46.436</t>
  </si>
  <si>
    <t>15001002982</t>
  </si>
  <si>
    <t xml:space="preserve">დაშდამიროვი ხიდირნაბი </t>
  </si>
  <si>
    <t>ქ. წალკა, მ. კოსტავას ქ. სახლი #75</t>
  </si>
  <si>
    <t>85.21.23.253</t>
  </si>
  <si>
    <t>61009011791</t>
  </si>
  <si>
    <t xml:space="preserve">ბოლქვაძე გურანდა </t>
  </si>
  <si>
    <t>ქ. თიანეთი რუსთაველის ქ. #38</t>
  </si>
  <si>
    <t>73.05.13.029ა</t>
  </si>
  <si>
    <t xml:space="preserve">ჯანგირაშვილი ზურაბ </t>
  </si>
  <si>
    <t>ქ. დუშეთი, რუსთაველის ქ. #46</t>
  </si>
  <si>
    <t>71.51.02.045</t>
  </si>
  <si>
    <t>16001000957</t>
  </si>
  <si>
    <t xml:space="preserve">ზანდუკელი შვენა </t>
  </si>
  <si>
    <t>ქ. ყაზბეგი, ალ. ყაზბეგის ქ. #32</t>
  </si>
  <si>
    <t>74.01.13.413</t>
  </si>
  <si>
    <t>01009003409</t>
  </si>
  <si>
    <t xml:space="preserve">ჩოფიკაშვილი ნინო </t>
  </si>
  <si>
    <t>ქ. ცაგერი, მ. კოსტავას ქ. #13 ბ. 3</t>
  </si>
  <si>
    <t>89.03.25.001.01.013</t>
  </si>
  <si>
    <t xml:space="preserve">ბენდელიანი ზაირა </t>
  </si>
  <si>
    <t>ქ. თერჯოლა, რუსთაველის ქ. #119</t>
  </si>
  <si>
    <t>33.09.34.252.01.003</t>
  </si>
  <si>
    <t>ქ. საჩხერე მერაბ კოსტავას ქ. #65</t>
  </si>
  <si>
    <t>35.01.44.124</t>
  </si>
  <si>
    <t xml:space="preserve">ბურძენიძე დიმიტრი </t>
  </si>
  <si>
    <t>ქ. ზესტაფონი, დ. აღმაშენებლის ქ. #19</t>
  </si>
  <si>
    <t>32.10.07.005.01.505</t>
  </si>
  <si>
    <t>405117136</t>
  </si>
  <si>
    <t>შპს 7 ლიდო</t>
  </si>
  <si>
    <t>ქ. ბაღდათი, შ. რუსთაველის ქ. #22</t>
  </si>
  <si>
    <t>30.11.33.203</t>
  </si>
  <si>
    <t>შპს ავა-მარიამი</t>
  </si>
  <si>
    <t>ქ. ვანი, ჯორჯიაშვილის ქ. #2</t>
  </si>
  <si>
    <t>31.01.26.076</t>
  </si>
  <si>
    <t>17001000134</t>
  </si>
  <si>
    <t xml:space="preserve">კორძაძე ომარ </t>
  </si>
  <si>
    <t>ქ. სამტრედია, რუსთაველის ქ. #23</t>
  </si>
  <si>
    <t>34.08.19.121.01.506</t>
  </si>
  <si>
    <t>8 თვე</t>
  </si>
  <si>
    <t>01010001112</t>
  </si>
  <si>
    <t>კალაძე კახა</t>
  </si>
  <si>
    <t>ქ. ხონი, მოსე ხონელის ქ. #5</t>
  </si>
  <si>
    <t>37.07.38.170</t>
  </si>
  <si>
    <t>55001001060</t>
  </si>
  <si>
    <t xml:space="preserve">ტრიანდაფილიდი თამარ </t>
  </si>
  <si>
    <t>ქ. ჭიათურა ეგ. ნინოშვილის ქ. #12 ბ. 9</t>
  </si>
  <si>
    <t>38.10.04.065.01.009</t>
  </si>
  <si>
    <t xml:space="preserve">ბარათაშვილი მირმენი </t>
  </si>
  <si>
    <t>ქ. ტყიბული, შ. რუსთაველის ქ. #1 ბ. 27</t>
  </si>
  <si>
    <t>39.01.05.035.01.027</t>
  </si>
  <si>
    <t>01024083360</t>
  </si>
  <si>
    <t xml:space="preserve">მახარაშვილი ნიკოლოზ </t>
  </si>
  <si>
    <t>ქ. ქუთაისი, გრიშაშვილის ქ. მე-4 შესახვევი #9/ რუსთაველის გამზირი #27</t>
  </si>
  <si>
    <t>03.04.24.159</t>
  </si>
  <si>
    <t>60001014677</t>
  </si>
  <si>
    <t xml:space="preserve">კოპალეიშვილი ამირან </t>
  </si>
  <si>
    <t>ქ. ლანჩხუთი, მდინარაძის ქ. #3</t>
  </si>
  <si>
    <t>27.06.56.168</t>
  </si>
  <si>
    <t xml:space="preserve">ორმოცაძე გიორგი </t>
  </si>
  <si>
    <t>ქ. ჩოხატაური, დუმბაძის ქ. #3</t>
  </si>
  <si>
    <t>28.01.21.067</t>
  </si>
  <si>
    <t>46001015708</t>
  </si>
  <si>
    <t xml:space="preserve">ჩხიკვაძე მაია </t>
  </si>
  <si>
    <t>ქ. აბაშა, თავისუფლების ქ. #81</t>
  </si>
  <si>
    <t>40.01.34.041.01.502</t>
  </si>
  <si>
    <t>39001036145</t>
  </si>
  <si>
    <t xml:space="preserve">კინწურაშვილი ირმა </t>
  </si>
  <si>
    <t xml:space="preserve">შუბლაძე ბესიკ </t>
  </si>
  <si>
    <t>ქ. მარტვილი, ჭავჭავაძის ქ. #10</t>
  </si>
  <si>
    <t>41.09.04.052.01.507</t>
  </si>
  <si>
    <t>62001033385</t>
  </si>
  <si>
    <t xml:space="preserve">გოროზია ემზარი </t>
  </si>
  <si>
    <t>ქ. ხობი, 9 აპრილის ქ. #3</t>
  </si>
  <si>
    <t>45.21.23.310</t>
  </si>
  <si>
    <t>244552480</t>
  </si>
  <si>
    <t>შპს ლასარი</t>
  </si>
  <si>
    <t>ქ. ზუგდიდი, მეუნარგიას ქ. #17</t>
  </si>
  <si>
    <t>43.31.55.091</t>
  </si>
  <si>
    <t>19001002777</t>
  </si>
  <si>
    <t xml:space="preserve">ცხადაია ვახტანგ </t>
  </si>
  <si>
    <t>დაბა ჩხოროწყუ, დ. აღმაშენებლის ქ. #13</t>
  </si>
  <si>
    <t>46.01.01.089.01.500</t>
  </si>
  <si>
    <t>48001004194</t>
  </si>
  <si>
    <t xml:space="preserve">ესართია ლაშა </t>
  </si>
  <si>
    <t>ქ. ფოთი, დ. აღმაშენებლის ქ. #10</t>
  </si>
  <si>
    <t>04.01.11.181</t>
  </si>
  <si>
    <t>42001010057</t>
  </si>
  <si>
    <t xml:space="preserve">ხორავა მარიკა </t>
  </si>
  <si>
    <t>დაბა მესტია, თამარ მეფის ქ. #14</t>
  </si>
  <si>
    <t>42.06.05.143</t>
  </si>
  <si>
    <t xml:space="preserve">ჯაფარიძე ნინა </t>
  </si>
  <si>
    <t>ქ. ბათუმი, მარაჯნიშვილისა და ასათიანის კვეთა</t>
  </si>
  <si>
    <t>05.22.23.002.01.504</t>
  </si>
  <si>
    <t>ქ. ქობულეთი, დ. აღმაშენებლის გამზირი #130</t>
  </si>
  <si>
    <t>20.42.06.422</t>
  </si>
  <si>
    <t>61004000897</t>
  </si>
  <si>
    <t xml:space="preserve">ძუბენკო თამარა </t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</si>
  <si>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 (ღონისძიების ხარჯი)</t>
  </si>
  <si>
    <t>404558590</t>
  </si>
  <si>
    <t>ქ. თელავი, მ. კოსტავას ქ. #6</t>
  </si>
  <si>
    <t>53.20.45.137.01.508</t>
  </si>
  <si>
    <t>231279023</t>
  </si>
  <si>
    <t>შპს ბიზნეს ცენტრი კავკასიონი</t>
  </si>
  <si>
    <t>ქ. თეთრიწყარო, თამარ მეფის ქ. #37</t>
  </si>
  <si>
    <t>84.01.03.009</t>
  </si>
  <si>
    <t>22001012821</t>
  </si>
  <si>
    <t xml:space="preserve">გაბიდაური თენგიზ </t>
  </si>
  <si>
    <t>21001006117</t>
  </si>
  <si>
    <t xml:space="preserve">რობაქიძე გოჩა </t>
  </si>
  <si>
    <t>სსიპ ხარაგაულის მუნიციპალიტეტი</t>
  </si>
  <si>
    <t>სსიპ ტყიბულის მუნიციპალიტეტი</t>
  </si>
  <si>
    <t>გიორგი</t>
  </si>
  <si>
    <t>ქსოვრელი</t>
  </si>
  <si>
    <t>01030027208</t>
  </si>
  <si>
    <t>ბუღალტერი</t>
  </si>
  <si>
    <t>ირაკლი</t>
  </si>
  <si>
    <t>ამირანაშვილი</t>
  </si>
  <si>
    <t>01030013035</t>
  </si>
  <si>
    <t>იურისტი</t>
  </si>
  <si>
    <t>ნუგზარ</t>
  </si>
  <si>
    <t>ხუციშვილი</t>
  </si>
  <si>
    <t>01030025947</t>
  </si>
  <si>
    <t>საარჩევნო კამპანიის ფონდის მმართველი უფროსი</t>
  </si>
  <si>
    <t>10/26/2018</t>
  </si>
  <si>
    <t>ფულადი შემოწირულობა</t>
  </si>
  <si>
    <t>ემზარ ივანიშვილი</t>
  </si>
  <si>
    <t>33001034215</t>
  </si>
  <si>
    <t>GE12CR0000000935843601</t>
  </si>
  <si>
    <t>შპს ახალი ბიზნეს ჯგუფი</t>
  </si>
  <si>
    <t>GE92PC0133600100063757</t>
  </si>
  <si>
    <t>პროკრედიტ ბანკი</t>
  </si>
  <si>
    <t>10/15/2015</t>
  </si>
  <si>
    <t>დიმიტრი ჩქარეული</t>
  </si>
  <si>
    <t>62004015293</t>
  </si>
  <si>
    <t>GE62BG0000000854055400</t>
  </si>
  <si>
    <t>საქართველოს ბანკი</t>
  </si>
  <si>
    <t>ფოტო მასალის შეძენის ხარჯი</t>
  </si>
  <si>
    <t>სხვა დანარჩენი საქონელი და მომსახურება (კვლევის ხარჯი)</t>
  </si>
  <si>
    <t>ქ. თბილისი რუსთაველის გამზ 1</t>
  </si>
  <si>
    <t>1 დღე</t>
  </si>
  <si>
    <t>შ.პ.ს. ჯი ემ თი სასტუმროები</t>
  </si>
  <si>
    <t>ქ. ტყიბული, გელათის ქ.6</t>
  </si>
  <si>
    <t>39,01,24,013</t>
  </si>
  <si>
    <t>დ. ხარაგაული სოლომონ მეფის ქ.57</t>
  </si>
  <si>
    <t>36,01,33,078</t>
  </si>
  <si>
    <t>ქ.თბილისი ოქროყანა ტექნო პარკის შენობა</t>
  </si>
  <si>
    <t>01,15,07,002,038</t>
  </si>
  <si>
    <t>სსიპ საქართველოს ინოვაციების და ტექნოლოგიების სააგენტო</t>
  </si>
  <si>
    <t>10/25/2018</t>
  </si>
  <si>
    <t>შპს ენგადი</t>
  </si>
  <si>
    <t>სასმელი წაყალი</t>
  </si>
  <si>
    <t>წარმომადგენლები კომისიაში</t>
  </si>
  <si>
    <t>ქ. ოზურგეთი, ი. ჭავჭვაძის ქ. #12</t>
  </si>
  <si>
    <t>26.26.01.086ა.01.500</t>
  </si>
  <si>
    <t>33001010051</t>
  </si>
  <si>
    <t>01017027727</t>
  </si>
  <si>
    <t>იმნაძე ნუგზარ</t>
  </si>
  <si>
    <t>მახარაძე რევაზ</t>
  </si>
  <si>
    <t>ხომერიკი ნოდარ</t>
  </si>
  <si>
    <t>ანთელიძე ილია</t>
  </si>
  <si>
    <t>29.08-28,10,2018</t>
  </si>
  <si>
    <t>09/17/2018</t>
  </si>
  <si>
    <t>ჩქარეული დიმიტრი</t>
  </si>
  <si>
    <t>29.08-18.09</t>
  </si>
  <si>
    <t>19.09-08.10</t>
  </si>
  <si>
    <t>10.10-28.10</t>
  </si>
  <si>
    <t>19.09-09.10</t>
  </si>
  <si>
    <t>ვიზაჟისტი</t>
  </si>
  <si>
    <t>09/14/2018</t>
  </si>
  <si>
    <t>09/27/2018</t>
  </si>
  <si>
    <t>ბეჭდური რეკლამი ხარჯი</t>
  </si>
  <si>
    <t>შ.პ.ს. ფავორიტი სტილი</t>
  </si>
  <si>
    <t>ფლაერი - 1305ც ; პოსტერი - 392ც</t>
  </si>
  <si>
    <t>ქ. თბილისი, ფორე მოსულიშვილის ქ. #1</t>
  </si>
  <si>
    <t>01.11.12.015.050</t>
  </si>
  <si>
    <t>2 თვე</t>
  </si>
  <si>
    <t>54001007223</t>
  </si>
  <si>
    <t xml:space="preserve">ქემერტელიძე კახაბერ </t>
  </si>
  <si>
    <t>0,5 თვე</t>
  </si>
  <si>
    <t>14001002438</t>
  </si>
  <si>
    <t xml:space="preserve">უზუნაშვილი იოსებ </t>
  </si>
  <si>
    <t>ქ. ყვარელი, შ. რუსთაველის ქ. #4</t>
  </si>
  <si>
    <t>57.06.56.208</t>
  </si>
  <si>
    <t>241582373</t>
  </si>
  <si>
    <t>შპს კახეთის ღვინის მარანი</t>
  </si>
  <si>
    <t>ქ. თელავი, ილ. ჭავჭავაძის გამზ. #24</t>
  </si>
  <si>
    <t>53.20.36.279</t>
  </si>
  <si>
    <t>20001011792</t>
  </si>
  <si>
    <t xml:space="preserve">ბასილაშვილი ლია </t>
  </si>
  <si>
    <t>ქ. გარდაბანი, ენერგეტიკის ქ. #1 ბ. 21</t>
  </si>
  <si>
    <t>81.15.29.124.01.021</t>
  </si>
  <si>
    <t>12001100651</t>
  </si>
  <si>
    <t xml:space="preserve">ფოჩხიძე გიორგი </t>
  </si>
  <si>
    <t>მარნეული, მაზნიაშვილის ქ. #2</t>
  </si>
  <si>
    <t>83.02.07.196.01.501</t>
  </si>
  <si>
    <t>28001001979</t>
  </si>
  <si>
    <t xml:space="preserve">მამედოვი ფირდოსი </t>
  </si>
  <si>
    <t>28001001085</t>
  </si>
  <si>
    <t xml:space="preserve">მამედოვი სეიმურ </t>
  </si>
  <si>
    <t>ქ. ბოლნისი, აღმაშენებლის ქ. #54</t>
  </si>
  <si>
    <t>80.06.62.025.01.500</t>
  </si>
  <si>
    <t>24001022727</t>
  </si>
  <si>
    <t xml:space="preserve">ქვრივიშვილი მზია </t>
  </si>
  <si>
    <t>ქ. თეთრიწყარო, დიდგორის ქ. #15</t>
  </si>
  <si>
    <t>84.01.33.123</t>
  </si>
  <si>
    <t>22001005181</t>
  </si>
  <si>
    <t xml:space="preserve">ბექაური ამური </t>
  </si>
  <si>
    <t>ქ. მცხეთა, დ. აღმაშენებლის ქ.</t>
  </si>
  <si>
    <t>72.07.06.004</t>
  </si>
  <si>
    <t>236052515</t>
  </si>
  <si>
    <t>შპს მცხეთის წყალი</t>
  </si>
  <si>
    <t>ქ. კასპი მ. კოსტავას ქ. #5</t>
  </si>
  <si>
    <t>67.01.99.235</t>
  </si>
  <si>
    <t xml:space="preserve">ხვთისიაშვილი მანანა </t>
  </si>
  <si>
    <t>ქ. გორი, წერეთლის ქ. #29</t>
  </si>
  <si>
    <t>66.05.19.407</t>
  </si>
  <si>
    <t>59001101395</t>
  </si>
  <si>
    <t xml:space="preserve">ლომაური ია </t>
  </si>
  <si>
    <t xml:space="preserve">ქ. ქარელი სტალინის ქ. #49 </t>
  </si>
  <si>
    <t>68.10.46.051</t>
  </si>
  <si>
    <t>01024022690</t>
  </si>
  <si>
    <t xml:space="preserve">გიორგაშვილი ნანა </t>
  </si>
  <si>
    <t>ქ. ხაშური, სააკაძის ქ. #94</t>
  </si>
  <si>
    <t>69.08.59.181</t>
  </si>
  <si>
    <t>57001016787</t>
  </si>
  <si>
    <t xml:space="preserve">მარკოზია კახაბერ </t>
  </si>
  <si>
    <t>ქ. ბორჯომი, შ. რუსთაველის ქ. #147</t>
  </si>
  <si>
    <t>64.03.11.061.01.500</t>
  </si>
  <si>
    <t>01001000813</t>
  </si>
  <si>
    <t xml:space="preserve">სამსონიძე ვალიდა </t>
  </si>
  <si>
    <t>ქ. ახალციხე, შ. რუსთაველის ქ. #44-44ა</t>
  </si>
  <si>
    <t>62.09.54.323</t>
  </si>
  <si>
    <t xml:space="preserve">წაღიკიან პარკევ </t>
  </si>
  <si>
    <t>დ. ადიგენი, თამარ მეფის ქ. #2</t>
  </si>
  <si>
    <t>61.05.01.018.01.501</t>
  </si>
  <si>
    <t>01004000999</t>
  </si>
  <si>
    <t xml:space="preserve">ზედგინიძე ზურაბ </t>
  </si>
  <si>
    <t>დ. ასპინძა, გორგასლის ქ. #2</t>
  </si>
  <si>
    <t>60.01.33.343</t>
  </si>
  <si>
    <t xml:space="preserve">ქუქჩიშვილი რევაზი </t>
  </si>
  <si>
    <t>ქ. ახალქალაქი, ჩარენცის ქ. #11/1</t>
  </si>
  <si>
    <t>63.18.35.531</t>
  </si>
  <si>
    <t>07001047680</t>
  </si>
  <si>
    <t xml:space="preserve">მურადიანი ვარდაზარ </t>
  </si>
  <si>
    <t>ქ. ნინოწმინდა, თავისუფლების ქ. #25</t>
  </si>
  <si>
    <t>65.12.33.118</t>
  </si>
  <si>
    <t>32001016304</t>
  </si>
  <si>
    <t xml:space="preserve">მზიკიან მამბრე </t>
  </si>
  <si>
    <t>ქ. ონი, დავით აღმაშენებლის ქ. #51</t>
  </si>
  <si>
    <t>88.18.25.012</t>
  </si>
  <si>
    <t>01008005646</t>
  </si>
  <si>
    <t xml:space="preserve">ჯაფარიძე ალექსანდრე </t>
  </si>
  <si>
    <t>ქ. ამბროლაური, კოსტავას ქ. #7</t>
  </si>
  <si>
    <t>86.19.21.044</t>
  </si>
  <si>
    <t>04001002980</t>
  </si>
  <si>
    <t xml:space="preserve">გოცირიძე ომარი </t>
  </si>
  <si>
    <t>ლენტეხი, დაბა ლენტეხი, სტალინის ქ. #8</t>
  </si>
  <si>
    <t>87.04.23.006</t>
  </si>
  <si>
    <t>27001007074</t>
  </si>
  <si>
    <t xml:space="preserve">ქურასბედიანი ნათელა </t>
  </si>
  <si>
    <t>ხარაგაული, დ. ხარაგაული, სოლომონ მეფის # 21</t>
  </si>
  <si>
    <t>36.01.02.019.01.001</t>
  </si>
  <si>
    <t>01018001780</t>
  </si>
  <si>
    <t xml:space="preserve">არევაძე-წერეთელი მზია </t>
  </si>
  <si>
    <t>ქ. თერჯოლა, რუსთაველის ქ. #105</t>
  </si>
  <si>
    <t>33.09.01.979.01.504</t>
  </si>
  <si>
    <t>21001015020</t>
  </si>
  <si>
    <t xml:space="preserve">ჩუბინიძე დარეჯანი </t>
  </si>
  <si>
    <t>რობაქიძე გოჩა</t>
  </si>
  <si>
    <t>ქ. წყალტუბო, შ. რუსთაველის ქ. #4</t>
  </si>
  <si>
    <t>29.08.34.003</t>
  </si>
  <si>
    <t xml:space="preserve">კუხალეიშვილი ნინო </t>
  </si>
  <si>
    <t>ქ. ოზურგეთი, ი. ჭავჭავაძის ქ. #12</t>
  </si>
  <si>
    <t>26.26.01.086ა.01.503</t>
  </si>
  <si>
    <t xml:space="preserve">ძნელაძე ნანი </t>
  </si>
  <si>
    <t>ქ. სენაკი, რუსთაველის ქ. #164</t>
  </si>
  <si>
    <t>44.01.05.229.01.501</t>
  </si>
  <si>
    <t>239860842</t>
  </si>
  <si>
    <t>საქ. სამომხ. კოოპერაციის სენაკის რ-ნ სამომხ. კოოპერატივი</t>
  </si>
  <si>
    <t>ქ. წალენჯიხა, გ. მებონიას ქ. #2</t>
  </si>
  <si>
    <t>47.11.43.075.01.504</t>
  </si>
  <si>
    <t>600317450646</t>
  </si>
  <si>
    <t>ლემონჯავა მანანა</t>
  </si>
  <si>
    <t>ქედა, აბუსერიძის ქ. #11</t>
  </si>
  <si>
    <t>21.03.33.059</t>
  </si>
  <si>
    <t xml:space="preserve">დიასამიძე ამირან </t>
  </si>
  <si>
    <t>შუახევი, დაბა შუახევი, რუსთაველის ქ. #22</t>
  </si>
  <si>
    <t>24.02.34.016</t>
  </si>
  <si>
    <t>61009020031</t>
  </si>
  <si>
    <t xml:space="preserve">შაინიძე ნესტან </t>
  </si>
  <si>
    <t>ქ. ბათუმი, ფრიდონ ხალვაშის გამზირი #346 ბ</t>
  </si>
  <si>
    <t>05.35.26.152.01.001</t>
  </si>
  <si>
    <t>61001070310</t>
  </si>
  <si>
    <t xml:space="preserve">შერვაშიძე იაკობ </t>
  </si>
  <si>
    <t>ხულო, დ. ხულო ტბელ აბუსერიძის ქ. #7</t>
  </si>
  <si>
    <t>23.11.31.152.01.500</t>
  </si>
  <si>
    <t xml:space="preserve">ბოლქვაძე ზურაბ </t>
  </si>
  <si>
    <t>ქ. თბილისი, კუს ტბის გზატკეცილი #1</t>
  </si>
  <si>
    <t>01.14.13.004.003</t>
  </si>
  <si>
    <t>სსიპ საქართველოს ეროვნული მუზეუმი</t>
  </si>
  <si>
    <t>MERCEDES-BENZ</t>
  </si>
  <si>
    <t>S 500</t>
  </si>
  <si>
    <t>2011</t>
  </si>
  <si>
    <t>WT007GR</t>
  </si>
  <si>
    <t>შპს ვი თი ჯგუფი</t>
  </si>
  <si>
    <t>ავტობუსი</t>
  </si>
  <si>
    <t>VOLKSWAGEN</t>
  </si>
  <si>
    <t>CRAFTER</t>
  </si>
  <si>
    <t>2007</t>
  </si>
  <si>
    <t>WT011GR</t>
  </si>
  <si>
    <t>SPRINTER 313 CDI</t>
  </si>
  <si>
    <t>2013</t>
  </si>
  <si>
    <t>WT010GR</t>
  </si>
  <si>
    <t>2008</t>
  </si>
  <si>
    <t>WT012GR</t>
  </si>
  <si>
    <t>DODGE</t>
  </si>
  <si>
    <t>SPRINTER 2500</t>
  </si>
  <si>
    <t>PKP889</t>
  </si>
  <si>
    <t xml:space="preserve"> S500</t>
  </si>
  <si>
    <t>2001</t>
  </si>
  <si>
    <t>WST022</t>
  </si>
  <si>
    <t>E 350</t>
  </si>
  <si>
    <t>2012</t>
  </si>
  <si>
    <t>GVY777</t>
  </si>
  <si>
    <t>დაბა ქედა, დავით აღმაშენებლის ქ. #16</t>
  </si>
  <si>
    <t>21.03.35.036</t>
  </si>
  <si>
    <t>246762203</t>
  </si>
  <si>
    <t>ა(ა)იპ ქედის კულტურის ცენტრი</t>
  </si>
  <si>
    <t>ქ. ქობულეთი, დ. აღმაშენებლის გამზ. #275</t>
  </si>
  <si>
    <t>20.42.01.266</t>
  </si>
  <si>
    <t>202060312</t>
  </si>
  <si>
    <t>შპს ჭყონია და კომპანია</t>
  </si>
  <si>
    <t>ოზურგეთი, გურამიშვილის ქ. #25</t>
  </si>
  <si>
    <t>26.26.56.135</t>
  </si>
  <si>
    <t>437060341</t>
  </si>
  <si>
    <t>შპს ელეგანტი</t>
  </si>
  <si>
    <t>ჩოხატაური, ლოთათიძის ქ.</t>
  </si>
  <si>
    <t>28.01.23.061.01.501</t>
  </si>
  <si>
    <t>441994861</t>
  </si>
  <si>
    <t>შპს პაგიო</t>
  </si>
  <si>
    <t>1.2.15.3</t>
  </si>
  <si>
    <t>29.08-07.11.2018</t>
  </si>
  <si>
    <t>29.08-07.11,2018</t>
  </si>
  <si>
    <t>სსიპ სახელმწიფო სპეციალური კავშირების სააგენტო</t>
  </si>
  <si>
    <t>შპს აქვა გეო</t>
  </si>
  <si>
    <t>შ.პ.ს. ბურჯი</t>
  </si>
  <si>
    <t>შპს საქართველოს დისტრიბუცია და ლოგისტიკა</t>
  </si>
  <si>
    <t>შპს დიპლომატ ჯორჯია</t>
  </si>
  <si>
    <t>თანხის გამოტანა</t>
  </si>
  <si>
    <t>29.10-07.11</t>
  </si>
  <si>
    <t>29.10-07.11.2018</t>
  </si>
  <si>
    <t>გიორგი ხუციშვილი</t>
  </si>
  <si>
    <t>01030025911</t>
  </si>
  <si>
    <t>GE51CR0000000920513601</t>
  </si>
  <si>
    <t>გელა კაპანაძე</t>
  </si>
  <si>
    <t>01010003858</t>
  </si>
  <si>
    <t>GE35CR0140005000743601</t>
  </si>
  <si>
    <t>კახაბერ კაპანაძე</t>
  </si>
  <si>
    <t>01010009080</t>
  </si>
  <si>
    <t>GE39CR0000009419893601</t>
  </si>
  <si>
    <t>პოსტერი 500ც</t>
  </si>
  <si>
    <t>ტელეკომუნიკაცია</t>
  </si>
  <si>
    <t>წყალი</t>
  </si>
  <si>
    <t>ყავა და შაქარი</t>
  </si>
  <si>
    <t>ჩაის</t>
  </si>
  <si>
    <t>ა/ტრანსპორტზე გაწეული მომსახურება</t>
  </si>
  <si>
    <t xml:space="preserve">სერგი </t>
  </si>
  <si>
    <t>ჯიხვაშვილი</t>
  </si>
  <si>
    <t>ოქტომბერი</t>
  </si>
  <si>
    <t xml:space="preserve">ზვიად </t>
  </si>
  <si>
    <t>მაკარიძე</t>
  </si>
  <si>
    <t>ბერძული</t>
  </si>
  <si>
    <t xml:space="preserve">რიტა </t>
  </si>
  <si>
    <t>გოჩელაშვილი</t>
  </si>
  <si>
    <t>ლანა</t>
  </si>
  <si>
    <t>დარჯანია</t>
  </si>
  <si>
    <t xml:space="preserve">ზაალ </t>
  </si>
  <si>
    <t>სტურუა</t>
  </si>
  <si>
    <t xml:space="preserve">თამარ </t>
  </si>
  <si>
    <t>კიკაბიძე</t>
  </si>
  <si>
    <t>გივი</t>
  </si>
  <si>
    <t>ახობაძე</t>
  </si>
  <si>
    <t xml:space="preserve">მალხაზ </t>
  </si>
  <si>
    <t>ალფაიძე</t>
  </si>
  <si>
    <t>ბიბილეიშვილი</t>
  </si>
  <si>
    <t>ეკა</t>
  </si>
  <si>
    <t>სანიკიძე</t>
  </si>
  <si>
    <t>gadavitane warmomadgenlebi</t>
  </si>
  <si>
    <t>gadavitane beWdurShi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</si>
</sst>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6" x14ac:knownFonts="1">
    <font>
      <sz val="10"/>
      <name val="Arial"/>
      <charset val="1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Sylfaen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7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35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51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8" xfId="2" applyFont="1" applyFill="1" applyBorder="1" applyAlignment="1" applyProtection="1">
      <alignment horizontal="left" vertical="top"/>
      <protection locked="0"/>
    </xf>
    <xf numFmtId="0" fontId="24" fillId="5" borderId="28" xfId="2" applyFont="1" applyFill="1" applyBorder="1" applyAlignment="1" applyProtection="1">
      <alignment horizontal="left" vertical="top" wrapText="1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1" fontId="24" fillId="5" borderId="29" xfId="2" applyNumberFormat="1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2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3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2" xfId="1" applyNumberFormat="1" applyFont="1" applyFill="1" applyBorder="1" applyAlignment="1" applyProtection="1">
      <alignment horizontal="right" vertical="center" wrapText="1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7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7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right" vertical="center"/>
      <protection locked="0"/>
    </xf>
    <xf numFmtId="0" fontId="32" fillId="0" borderId="17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1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0" xfId="9" applyFont="1" applyFill="1" applyBorder="1" applyAlignment="1" applyProtection="1">
      <alignment horizontal="center" vertical="center" wrapText="1"/>
    </xf>
    <xf numFmtId="0" fontId="29" fillId="4" borderId="15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49" fontId="29" fillId="3" borderId="13" xfId="9" applyNumberFormat="1" applyFont="1" applyFill="1" applyBorder="1" applyAlignment="1" applyProtection="1">
      <alignment horizontal="center" vertical="center" wrapText="1"/>
    </xf>
    <xf numFmtId="0" fontId="29" fillId="3" borderId="9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9" fillId="5" borderId="12" xfId="9" applyFont="1" applyFill="1" applyBorder="1" applyAlignment="1" applyProtection="1">
      <alignment horizontal="center" vertical="center" wrapText="1"/>
    </xf>
    <xf numFmtId="0" fontId="27" fillId="5" borderId="38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9" xfId="9" applyFont="1" applyFill="1" applyBorder="1" applyAlignment="1" applyProtection="1">
      <alignment vertical="center"/>
    </xf>
    <xf numFmtId="0" fontId="19" fillId="5" borderId="38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9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39" xfId="0" applyFont="1" applyFill="1" applyBorder="1" applyAlignment="1" applyProtection="1">
      <alignment vertical="center"/>
    </xf>
    <xf numFmtId="0" fontId="19" fillId="5" borderId="38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9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9" xfId="0" applyFont="1" applyFill="1" applyBorder="1" applyAlignment="1">
      <alignment vertical="center"/>
    </xf>
    <xf numFmtId="0" fontId="22" fillId="0" borderId="0" xfId="0" applyFont="1" applyBorder="1" applyProtection="1"/>
    <xf numFmtId="0" fontId="17" fillId="0" borderId="0" xfId="0" applyFont="1" applyAlignment="1" applyProtection="1">
      <alignment vertical="top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22" fillId="0" borderId="0" xfId="3" applyFont="1" applyBorder="1" applyAlignment="1" applyProtection="1">
      <alignment vertical="center"/>
    </xf>
    <xf numFmtId="0" fontId="24" fillId="5" borderId="1" xfId="2" applyFont="1" applyFill="1" applyBorder="1" applyAlignment="1" applyProtection="1">
      <alignment horizontal="center" vertical="top" wrapText="1"/>
    </xf>
    <xf numFmtId="1" fontId="24" fillId="5" borderId="1" xfId="2" applyNumberFormat="1" applyFont="1" applyFill="1" applyBorder="1" applyAlignment="1" applyProtection="1">
      <alignment horizontal="center" vertical="top" wrapText="1"/>
    </xf>
    <xf numFmtId="0" fontId="25" fillId="0" borderId="1" xfId="2" applyFont="1" applyFill="1" applyBorder="1" applyAlignment="1" applyProtection="1">
      <alignment horizontal="right" vertical="top" wrapText="1"/>
      <protection locked="0"/>
    </xf>
    <xf numFmtId="1" fontId="17" fillId="0" borderId="1" xfId="0" applyNumberFormat="1" applyFont="1" applyBorder="1" applyProtection="1">
      <protection locked="0"/>
    </xf>
    <xf numFmtId="1" fontId="22" fillId="5" borderId="1" xfId="0" applyNumberFormat="1" applyFont="1" applyFill="1" applyBorder="1" applyAlignment="1" applyProtection="1">
      <alignment horizontal="right" vertical="center" wrapText="1"/>
    </xf>
    <xf numFmtId="1" fontId="22" fillId="5" borderId="1" xfId="0" applyNumberFormat="1" applyFont="1" applyFill="1" applyBorder="1" applyProtection="1"/>
    <xf numFmtId="0" fontId="35" fillId="0" borderId="1" xfId="16" applyFill="1" applyBorder="1" applyProtection="1"/>
    <xf numFmtId="0" fontId="35" fillId="0" borderId="1" xfId="16" applyFill="1" applyBorder="1" applyAlignment="1" applyProtection="1">
      <alignment wrapText="1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1" fontId="17" fillId="0" borderId="1" xfId="2" applyNumberFormat="1" applyFont="1" applyFill="1" applyBorder="1" applyAlignment="1" applyProtection="1">
      <alignment horizontal="right" vertical="top"/>
      <protection locked="0"/>
    </xf>
    <xf numFmtId="1" fontId="17" fillId="5" borderId="1" xfId="2" applyNumberFormat="1" applyFont="1" applyFill="1" applyBorder="1" applyAlignment="1" applyProtection="1">
      <alignment horizontal="right" vertical="top"/>
    </xf>
    <xf numFmtId="0" fontId="17" fillId="0" borderId="1" xfId="2" applyFont="1" applyFill="1" applyBorder="1" applyAlignment="1" applyProtection="1">
      <alignment horizontal="center" vertical="top"/>
      <protection locked="0"/>
    </xf>
    <xf numFmtId="1" fontId="17" fillId="0" borderId="1" xfId="2" applyNumberFormat="1" applyFont="1" applyFill="1" applyBorder="1" applyAlignment="1" applyProtection="1">
      <alignment horizontal="center" vertical="top"/>
      <protection locked="0"/>
    </xf>
    <xf numFmtId="1" fontId="19" fillId="0" borderId="1" xfId="4" applyNumberFormat="1" applyFont="1" applyBorder="1" applyAlignment="1" applyProtection="1">
      <alignment vertical="center" wrapText="1"/>
      <protection locked="0"/>
    </xf>
    <xf numFmtId="1" fontId="17" fillId="0" borderId="0" xfId="0" applyNumberFormat="1" applyFont="1" applyProtection="1">
      <protection locked="0"/>
    </xf>
    <xf numFmtId="3" fontId="17" fillId="0" borderId="1" xfId="2" applyNumberFormat="1" applyFont="1" applyFill="1" applyBorder="1" applyAlignment="1" applyProtection="1">
      <alignment horizontal="right" vertical="center"/>
      <protection locked="0"/>
    </xf>
    <xf numFmtId="1" fontId="17" fillId="0" borderId="1" xfId="0" applyNumberFormat="1" applyFont="1" applyFill="1" applyBorder="1" applyProtection="1">
      <protection locked="0"/>
    </xf>
    <xf numFmtId="168" fontId="32" fillId="0" borderId="2" xfId="10" applyNumberFormat="1" applyFont="1" applyFill="1" applyBorder="1" applyAlignment="1" applyProtection="1">
      <alignment horizontal="left" vertical="center" wrapText="1"/>
      <protection locked="0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Protection="1"/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4" fillId="0" borderId="31" xfId="2" applyFont="1" applyFill="1" applyBorder="1" applyAlignment="1" applyProtection="1">
      <alignment horizontal="left" vertical="top" wrapText="1"/>
      <protection locked="0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2" fontId="24" fillId="0" borderId="26" xfId="2" applyNumberFormat="1" applyFont="1" applyFill="1" applyBorder="1" applyAlignment="1" applyProtection="1">
      <alignment horizontal="left" vertical="top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0" fontId="19" fillId="0" borderId="1" xfId="15" applyFont="1" applyFill="1" applyBorder="1" applyAlignment="1" applyProtection="1">
      <alignment horizontal="left" vertical="center" wrapText="1"/>
      <protection locked="0"/>
    </xf>
    <xf numFmtId="0" fontId="19" fillId="0" borderId="1" xfId="15" applyFont="1" applyFill="1" applyBorder="1" applyAlignment="1" applyProtection="1">
      <alignment horizontal="right" vertical="center" wrapText="1"/>
      <protection locked="0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22" fillId="0" borderId="0" xfId="0" applyFont="1" applyFill="1" applyProtection="1"/>
    <xf numFmtId="0" fontId="17" fillId="0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horizontal="right" vertical="center"/>
    </xf>
    <xf numFmtId="0" fontId="26" fillId="0" borderId="6" xfId="2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center" vertical="center" wrapText="1"/>
    </xf>
    <xf numFmtId="1" fontId="26" fillId="0" borderId="6" xfId="2" applyNumberFormat="1" applyFont="1" applyFill="1" applyBorder="1" applyAlignment="1" applyProtection="1">
      <alignment horizontal="center" vertical="center" wrapText="1"/>
    </xf>
    <xf numFmtId="1" fontId="26" fillId="0" borderId="6" xfId="2" applyNumberFormat="1" applyFont="1" applyFill="1" applyBorder="1" applyAlignment="1" applyProtection="1">
      <alignment horizontal="center" vertical="top" wrapText="1"/>
    </xf>
    <xf numFmtId="14" fontId="11" fillId="0" borderId="1" xfId="3" applyNumberFormat="1" applyFill="1" applyBorder="1" applyProtection="1"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17" fillId="0" borderId="3" xfId="0" applyFont="1" applyFill="1" applyBorder="1" applyProtection="1">
      <protection locked="0"/>
    </xf>
    <xf numFmtId="0" fontId="0" fillId="0" borderId="0" xfId="0" applyFill="1" applyBorder="1"/>
    <xf numFmtId="0" fontId="22" fillId="0" borderId="0" xfId="0" applyFont="1" applyFill="1" applyProtection="1">
      <protection locked="0"/>
    </xf>
    <xf numFmtId="0" fontId="16" fillId="0" borderId="0" xfId="0" applyFont="1" applyFill="1"/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14" fontId="11" fillId="0" borderId="1" xfId="3" applyNumberFormat="1" applyFill="1" applyBorder="1" applyProtection="1">
      <protection locked="0"/>
    </xf>
    <xf numFmtId="14" fontId="11" fillId="0" borderId="1" xfId="3" applyNumberFormat="1" applyFill="1" applyBorder="1" applyAlignment="1" applyProtection="1">
      <alignment horizontal="left"/>
      <protection locked="0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3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2" fillId="0" borderId="2" xfId="9" applyNumberFormat="1" applyFont="1" applyBorder="1" applyAlignment="1" applyProtection="1">
      <alignment horizontal="center" vertical="center" wrapText="1"/>
      <protection locked="0"/>
    </xf>
    <xf numFmtId="1" fontId="17" fillId="0" borderId="0" xfId="1" applyNumberFormat="1" applyFont="1" applyAlignment="1" applyProtection="1">
      <alignment horizontal="center" vertical="center"/>
      <protection locked="0"/>
    </xf>
    <xf numFmtId="1" fontId="22" fillId="0" borderId="0" xfId="1" applyNumberFormat="1" applyFont="1" applyAlignment="1" applyProtection="1">
      <alignment horizontal="center" vertical="center"/>
      <protection locked="0"/>
    </xf>
    <xf numFmtId="0" fontId="19" fillId="0" borderId="1" xfId="15" applyFont="1" applyBorder="1" applyAlignment="1" applyProtection="1">
      <alignment horizontal="left" vertical="center" wrapText="1"/>
      <protection locked="0"/>
    </xf>
    <xf numFmtId="0" fontId="19" fillId="0" borderId="1" xfId="15" applyFont="1" applyBorder="1" applyAlignment="1" applyProtection="1">
      <alignment horizontal="right" vertical="center" wrapText="1"/>
      <protection locked="0"/>
    </xf>
    <xf numFmtId="0" fontId="17" fillId="0" borderId="1" xfId="0" applyFont="1" applyFill="1" applyBorder="1" applyProtection="1">
      <protection locked="0"/>
    </xf>
    <xf numFmtId="3" fontId="17" fillId="0" borderId="0" xfId="3" applyNumberFormat="1" applyFont="1" applyProtection="1">
      <protection locked="0"/>
    </xf>
    <xf numFmtId="1" fontId="31" fillId="0" borderId="0" xfId="0" applyNumberFormat="1" applyFont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horizontal="center" vertical="center"/>
      <protection locked="0"/>
    </xf>
    <xf numFmtId="0" fontId="19" fillId="5" borderId="38" xfId="9" applyFont="1" applyFill="1" applyBorder="1" applyAlignment="1" applyProtection="1">
      <alignment horizontal="center" vertical="center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9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0" fontId="29" fillId="4" borderId="10" xfId="9" applyFont="1" applyFill="1" applyBorder="1" applyAlignment="1" applyProtection="1">
      <alignment horizontal="center" vertical="center"/>
    </xf>
    <xf numFmtId="14" fontId="21" fillId="2" borderId="34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4" xfId="10" applyNumberFormat="1" applyFont="1" applyFill="1" applyBorder="1" applyAlignment="1" applyProtection="1">
      <alignment horizontal="center" vertical="center"/>
    </xf>
    <xf numFmtId="14" fontId="21" fillId="2" borderId="34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33" xfId="15" applyFont="1" applyBorder="1" applyAlignment="1" applyProtection="1">
      <alignment horizontal="center" vertical="center" wrapText="1"/>
      <protection locked="0"/>
    </xf>
    <xf numFmtId="0" fontId="19" fillId="0" borderId="32" xfId="15" applyFont="1" applyBorder="1" applyAlignment="1" applyProtection="1">
      <alignment horizontal="center" vertical="center" wrapText="1"/>
      <protection locked="0"/>
    </xf>
    <xf numFmtId="0" fontId="19" fillId="0" borderId="2" xfId="15" applyFont="1" applyBorder="1" applyAlignment="1" applyProtection="1">
      <alignment horizontal="center" vertical="center" wrapText="1"/>
      <protection locked="0"/>
    </xf>
    <xf numFmtId="0" fontId="19" fillId="0" borderId="33" xfId="15" applyFont="1" applyFill="1" applyBorder="1" applyAlignment="1" applyProtection="1">
      <alignment horizontal="center" vertical="center" wrapText="1"/>
      <protection locked="0"/>
    </xf>
    <xf numFmtId="0" fontId="19" fillId="0" borderId="32" xfId="15" applyFont="1" applyFill="1" applyBorder="1" applyAlignment="1" applyProtection="1">
      <alignment horizontal="center" vertical="center" wrapText="1"/>
      <protection locked="0"/>
    </xf>
    <xf numFmtId="0" fontId="19" fillId="0" borderId="2" xfId="15" applyFont="1" applyFill="1" applyBorder="1" applyAlignment="1" applyProtection="1">
      <alignment horizontal="center" vertical="center" wrapText="1"/>
      <protection locked="0"/>
    </xf>
    <xf numFmtId="0" fontId="19" fillId="0" borderId="33" xfId="15" applyFont="1" applyBorder="1" applyAlignment="1" applyProtection="1">
      <alignment horizontal="right" vertical="center" wrapText="1"/>
      <protection locked="0"/>
    </xf>
    <xf numFmtId="0" fontId="19" fillId="0" borderId="2" xfId="15" applyFont="1" applyBorder="1" applyAlignment="1" applyProtection="1">
      <alignment horizontal="right" vertical="center" wrapText="1"/>
      <protection locked="0"/>
    </xf>
    <xf numFmtId="0" fontId="19" fillId="0" borderId="33" xfId="15" applyFont="1" applyFill="1" applyBorder="1" applyAlignment="1" applyProtection="1">
      <alignment horizontal="left" vertical="center" wrapText="1"/>
      <protection locked="0"/>
    </xf>
    <xf numFmtId="0" fontId="19" fillId="0" borderId="2" xfId="15" applyFont="1" applyFill="1" applyBorder="1" applyAlignment="1" applyProtection="1">
      <alignment horizontal="left" vertical="center" wrapText="1"/>
      <protection locked="0"/>
    </xf>
    <xf numFmtId="0" fontId="19" fillId="0" borderId="33" xfId="15" applyFont="1" applyBorder="1" applyAlignment="1" applyProtection="1">
      <alignment horizontal="left" vertical="center" wrapText="1"/>
      <protection locked="0"/>
    </xf>
    <xf numFmtId="0" fontId="19" fillId="0" borderId="2" xfId="15" applyFont="1" applyBorder="1" applyAlignment="1" applyProtection="1">
      <alignment horizontal="left" vertical="center" wrapText="1"/>
      <protection locked="0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4" xfId="3" applyFont="1" applyBorder="1" applyAlignment="1" applyProtection="1">
      <alignment horizontal="center" vertical="center"/>
      <protection locked="0"/>
    </xf>
    <xf numFmtId="0" fontId="17" fillId="0" borderId="34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3" xfId="15" applyFont="1" applyFill="1" applyBorder="1" applyAlignment="1" applyProtection="1">
      <alignment horizontal="right" vertical="center" wrapText="1"/>
      <protection locked="0"/>
    </xf>
    <xf numFmtId="0" fontId="19" fillId="0" borderId="2" xfId="15" applyFont="1" applyFill="1" applyBorder="1" applyAlignment="1" applyProtection="1">
      <alignment horizontal="right" vertical="center" wrapText="1"/>
      <protection locked="0"/>
    </xf>
    <xf numFmtId="0" fontId="19" fillId="5" borderId="0" xfId="9" applyFont="1" applyFill="1" applyBorder="1" applyAlignment="1" applyProtection="1">
      <alignment horizontal="left" vertical="center"/>
      <protection locked="0"/>
    </xf>
    <xf numFmtId="0" fontId="19" fillId="5" borderId="38" xfId="9" applyFont="1" applyFill="1" applyBorder="1" applyAlignment="1" applyProtection="1">
      <alignment horizontal="left" vertical="center"/>
      <protection locked="0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29" xfId="3" applyFont="1" applyBorder="1" applyAlignment="1">
      <alignment horizontal="center" vertical="center"/>
    </xf>
  </cellXfs>
  <cellStyles count="27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2 2 2" xfId="26"/>
    <cellStyle name="Normal 5 2 2 3" xfId="19"/>
    <cellStyle name="Normal 5 2 3" xfId="8"/>
    <cellStyle name="Normal 5 2 3 2" xfId="11"/>
    <cellStyle name="Normal 5 2 3 2 2" xfId="23"/>
    <cellStyle name="Normal 5 2 3 3" xfId="20"/>
    <cellStyle name="Normal 5 2 4" xfId="18"/>
    <cellStyle name="Normal 5 3" xfId="9"/>
    <cellStyle name="Normal 5 3 2" xfId="10"/>
    <cellStyle name="Normal 5 3 2 2" xfId="22"/>
    <cellStyle name="Normal 5 3 3" xfId="21"/>
    <cellStyle name="Normal 5 4" xfId="17"/>
    <cellStyle name="Normal 6" xfId="12"/>
    <cellStyle name="Normal 6 2" xfId="24"/>
    <cellStyle name="Normal 7" xfId="13"/>
    <cellStyle name="Normal 7 2" xfId="25"/>
    <cellStyle name="Normal 8" xfId="16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171450</xdr:rowOff>
    </xdr:from>
    <xdr:to>
      <xdr:col>1</xdr:col>
      <xdr:colOff>1495425</xdr:colOff>
      <xdr:row>24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24</xdr:row>
      <xdr:rowOff>180975</xdr:rowOff>
    </xdr:from>
    <xdr:to>
      <xdr:col>6</xdr:col>
      <xdr:colOff>219075</xdr:colOff>
      <xdr:row>24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171450</xdr:rowOff>
    </xdr:from>
    <xdr:to>
      <xdr:col>2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30</xdr:row>
      <xdr:rowOff>152400</xdr:rowOff>
    </xdr:from>
    <xdr:to>
      <xdr:col>7</xdr:col>
      <xdr:colOff>9525</xdr:colOff>
      <xdr:row>30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aprezidento%202018/01.08-21.08.2018/01.08-21.08.2018%20mpg%20q.o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view="pageBreakPreview" zoomScaleNormal="100" zoomScaleSheetLayoutView="100" workbookViewId="0">
      <selection activeCell="E16" sqref="E16"/>
    </sheetView>
  </sheetViews>
  <sheetFormatPr defaultColWidth="9.140625" defaultRowHeight="15" x14ac:dyDescent="0.2"/>
  <cols>
    <col min="1" max="1" width="6.28515625" style="246" bestFit="1" customWidth="1"/>
    <col min="2" max="2" width="13.140625" style="246" customWidth="1"/>
    <col min="3" max="3" width="17.85546875" style="246" customWidth="1"/>
    <col min="4" max="4" width="15.140625" style="246" customWidth="1"/>
    <col min="5" max="5" width="24.5703125" style="246" customWidth="1"/>
    <col min="6" max="6" width="19.140625" style="247" customWidth="1"/>
    <col min="7" max="7" width="20.7109375" style="247" customWidth="1"/>
    <col min="8" max="8" width="19.140625" style="247" customWidth="1"/>
    <col min="9" max="9" width="16.42578125" style="246" bestFit="1" customWidth="1"/>
    <col min="10" max="10" width="17.42578125" style="246" customWidth="1"/>
    <col min="11" max="11" width="13.140625" style="246" bestFit="1" customWidth="1"/>
    <col min="12" max="12" width="15.28515625" style="246" customWidth="1"/>
    <col min="13" max="16384" width="9.140625" style="246"/>
  </cols>
  <sheetData>
    <row r="1" spans="1:12" s="257" customFormat="1" x14ac:dyDescent="0.2">
      <c r="A1" s="324" t="s">
        <v>289</v>
      </c>
      <c r="B1" s="311"/>
      <c r="C1" s="311"/>
      <c r="D1" s="311"/>
      <c r="E1" s="312"/>
      <c r="F1" s="306"/>
      <c r="G1" s="312"/>
      <c r="H1" s="323"/>
      <c r="I1" s="311"/>
      <c r="J1" s="312"/>
      <c r="K1" s="312"/>
      <c r="L1" s="322" t="s">
        <v>97</v>
      </c>
    </row>
    <row r="2" spans="1:12" s="257" customFormat="1" x14ac:dyDescent="0.2">
      <c r="A2" s="321" t="s">
        <v>128</v>
      </c>
      <c r="B2" s="311"/>
      <c r="C2" s="311"/>
      <c r="D2" s="311"/>
      <c r="E2" s="312"/>
      <c r="F2" s="306"/>
      <c r="G2" s="312"/>
      <c r="H2" s="320"/>
      <c r="I2" s="311"/>
      <c r="J2" s="312"/>
      <c r="K2" s="471" t="s">
        <v>1112</v>
      </c>
      <c r="L2" s="472"/>
    </row>
    <row r="3" spans="1:12" s="257" customFormat="1" x14ac:dyDescent="0.2">
      <c r="A3" s="319"/>
      <c r="B3" s="311"/>
      <c r="C3" s="318"/>
      <c r="D3" s="317"/>
      <c r="E3" s="312"/>
      <c r="F3" s="316"/>
      <c r="G3" s="312"/>
      <c r="H3" s="312"/>
      <c r="I3" s="306"/>
      <c r="J3" s="311"/>
      <c r="K3" s="311"/>
      <c r="L3" s="310"/>
    </row>
    <row r="4" spans="1:12" s="257" customFormat="1" x14ac:dyDescent="0.2">
      <c r="A4" s="343" t="s">
        <v>257</v>
      </c>
      <c r="B4" s="306"/>
      <c r="C4" s="306"/>
      <c r="D4" s="350"/>
      <c r="E4" s="351"/>
      <c r="F4" s="313"/>
      <c r="G4" s="312"/>
      <c r="H4" s="352"/>
      <c r="I4" s="351"/>
      <c r="J4" s="311"/>
      <c r="K4" s="312"/>
      <c r="L4" s="310"/>
    </row>
    <row r="5" spans="1:12" s="257" customFormat="1" ht="15.75" thickBot="1" x14ac:dyDescent="0.25">
      <c r="A5" s="403" t="s">
        <v>477</v>
      </c>
      <c r="B5" s="403"/>
      <c r="C5" s="315"/>
      <c r="D5" s="314"/>
      <c r="E5" s="312"/>
      <c r="F5" s="313"/>
      <c r="G5" s="313"/>
      <c r="H5" s="313"/>
      <c r="I5" s="312"/>
      <c r="J5" s="311"/>
      <c r="K5" s="311"/>
      <c r="L5" s="310"/>
    </row>
    <row r="6" spans="1:12" ht="15.75" thickBot="1" x14ac:dyDescent="0.25">
      <c r="A6" s="309"/>
      <c r="B6" s="308"/>
      <c r="C6" s="307"/>
      <c r="D6" s="307"/>
      <c r="E6" s="307"/>
      <c r="F6" s="306"/>
      <c r="G6" s="306"/>
      <c r="H6" s="306"/>
      <c r="I6" s="475" t="s">
        <v>405</v>
      </c>
      <c r="J6" s="476"/>
      <c r="K6" s="477"/>
      <c r="L6" s="305"/>
    </row>
    <row r="7" spans="1:12" s="293" customFormat="1" ht="51.75" thickBot="1" x14ac:dyDescent="0.25">
      <c r="A7" s="304" t="s">
        <v>64</v>
      </c>
      <c r="B7" s="303" t="s">
        <v>129</v>
      </c>
      <c r="C7" s="303" t="s">
        <v>404</v>
      </c>
      <c r="D7" s="302" t="s">
        <v>263</v>
      </c>
      <c r="E7" s="301" t="s">
        <v>403</v>
      </c>
      <c r="F7" s="300" t="s">
        <v>402</v>
      </c>
      <c r="G7" s="299" t="s">
        <v>216</v>
      </c>
      <c r="H7" s="298" t="s">
        <v>213</v>
      </c>
      <c r="I7" s="297" t="s">
        <v>401</v>
      </c>
      <c r="J7" s="296" t="s">
        <v>260</v>
      </c>
      <c r="K7" s="295" t="s">
        <v>217</v>
      </c>
      <c r="L7" s="294" t="s">
        <v>218</v>
      </c>
    </row>
    <row r="8" spans="1:12" s="287" customFormat="1" ht="15.75" thickBot="1" x14ac:dyDescent="0.25">
      <c r="A8" s="291">
        <v>1</v>
      </c>
      <c r="B8" s="290">
        <v>2</v>
      </c>
      <c r="C8" s="292">
        <v>3</v>
      </c>
      <c r="D8" s="292">
        <v>4</v>
      </c>
      <c r="E8" s="291">
        <v>5</v>
      </c>
      <c r="F8" s="290">
        <v>6</v>
      </c>
      <c r="G8" s="292">
        <v>7</v>
      </c>
      <c r="H8" s="290">
        <v>8</v>
      </c>
      <c r="I8" s="291">
        <v>9</v>
      </c>
      <c r="J8" s="290">
        <v>10</v>
      </c>
      <c r="K8" s="289">
        <v>11</v>
      </c>
      <c r="L8" s="288">
        <v>12</v>
      </c>
    </row>
    <row r="9" spans="1:12" x14ac:dyDescent="0.2">
      <c r="A9" s="286">
        <v>1</v>
      </c>
      <c r="B9" s="463" t="s">
        <v>932</v>
      </c>
      <c r="C9" s="276" t="s">
        <v>219</v>
      </c>
      <c r="D9" s="285">
        <v>20</v>
      </c>
      <c r="E9" s="284" t="s">
        <v>933</v>
      </c>
      <c r="F9" s="273" t="s">
        <v>904</v>
      </c>
      <c r="G9" s="283" t="s">
        <v>905</v>
      </c>
      <c r="H9" s="283" t="s">
        <v>906</v>
      </c>
      <c r="I9" s="282"/>
      <c r="J9" s="281"/>
      <c r="K9" s="280"/>
      <c r="L9" s="279"/>
    </row>
    <row r="10" spans="1:12" ht="25.5" x14ac:dyDescent="0.2">
      <c r="A10" s="278">
        <v>2</v>
      </c>
      <c r="B10" s="463" t="s">
        <v>894</v>
      </c>
      <c r="C10" s="276" t="s">
        <v>895</v>
      </c>
      <c r="D10" s="285">
        <v>10000</v>
      </c>
      <c r="E10" s="284" t="s">
        <v>896</v>
      </c>
      <c r="F10" s="273" t="s">
        <v>897</v>
      </c>
      <c r="G10" s="283" t="s">
        <v>898</v>
      </c>
      <c r="H10" s="283" t="s">
        <v>478</v>
      </c>
      <c r="I10" s="272"/>
      <c r="J10" s="271"/>
      <c r="K10" s="270"/>
      <c r="L10" s="269"/>
    </row>
    <row r="11" spans="1:12" ht="25.5" x14ac:dyDescent="0.2">
      <c r="A11" s="278">
        <v>3</v>
      </c>
      <c r="B11" s="463">
        <v>43414</v>
      </c>
      <c r="C11" s="276" t="s">
        <v>895</v>
      </c>
      <c r="D11" s="275">
        <v>200</v>
      </c>
      <c r="E11" s="274" t="s">
        <v>899</v>
      </c>
      <c r="F11" s="273">
        <v>446965053</v>
      </c>
      <c r="G11" s="273" t="s">
        <v>900</v>
      </c>
      <c r="H11" s="273" t="s">
        <v>901</v>
      </c>
      <c r="I11" s="272"/>
      <c r="J11" s="271"/>
      <c r="K11" s="270"/>
      <c r="L11" s="269"/>
    </row>
    <row r="12" spans="1:12" x14ac:dyDescent="0.2">
      <c r="A12" s="278">
        <v>4</v>
      </c>
      <c r="B12" s="463" t="s">
        <v>902</v>
      </c>
      <c r="C12" s="276" t="s">
        <v>219</v>
      </c>
      <c r="D12" s="275">
        <v>20</v>
      </c>
      <c r="E12" s="274" t="s">
        <v>903</v>
      </c>
      <c r="F12" s="273" t="s">
        <v>904</v>
      </c>
      <c r="G12" s="273" t="s">
        <v>905</v>
      </c>
      <c r="H12" s="273" t="s">
        <v>906</v>
      </c>
      <c r="I12" s="272"/>
      <c r="J12" s="271"/>
      <c r="K12" s="270"/>
      <c r="L12" s="269"/>
    </row>
    <row r="13" spans="1:12" ht="25.5" x14ac:dyDescent="0.2">
      <c r="A13" s="278">
        <v>5</v>
      </c>
      <c r="B13" s="463">
        <v>43111</v>
      </c>
      <c r="C13" s="276" t="s">
        <v>895</v>
      </c>
      <c r="D13" s="285">
        <v>20000</v>
      </c>
      <c r="E13" s="284" t="s">
        <v>1122</v>
      </c>
      <c r="F13" s="273" t="s">
        <v>1123</v>
      </c>
      <c r="G13" s="283" t="s">
        <v>1124</v>
      </c>
      <c r="H13" s="283" t="s">
        <v>478</v>
      </c>
      <c r="I13" s="272"/>
      <c r="J13" s="271"/>
      <c r="K13" s="270"/>
      <c r="L13" s="269"/>
    </row>
    <row r="14" spans="1:12" ht="25.5" x14ac:dyDescent="0.2">
      <c r="A14" s="278">
        <v>6</v>
      </c>
      <c r="B14" s="463">
        <v>43142</v>
      </c>
      <c r="C14" s="276" t="s">
        <v>895</v>
      </c>
      <c r="D14" s="275">
        <v>45000</v>
      </c>
      <c r="E14" s="274" t="s">
        <v>1125</v>
      </c>
      <c r="F14" s="273" t="s">
        <v>1126</v>
      </c>
      <c r="G14" s="273" t="s">
        <v>1127</v>
      </c>
      <c r="H14" s="283" t="s">
        <v>478</v>
      </c>
      <c r="I14" s="272"/>
      <c r="J14" s="271"/>
      <c r="K14" s="270"/>
      <c r="L14" s="269"/>
    </row>
    <row r="15" spans="1:12" ht="25.5" x14ac:dyDescent="0.2">
      <c r="A15" s="278">
        <v>7</v>
      </c>
      <c r="B15" s="463">
        <v>43292</v>
      </c>
      <c r="C15" s="276" t="s">
        <v>895</v>
      </c>
      <c r="D15" s="275">
        <v>15000</v>
      </c>
      <c r="E15" s="274" t="s">
        <v>1128</v>
      </c>
      <c r="F15" s="273" t="s">
        <v>1129</v>
      </c>
      <c r="G15" s="273" t="s">
        <v>1130</v>
      </c>
      <c r="H15" s="283" t="s">
        <v>478</v>
      </c>
      <c r="I15" s="272"/>
      <c r="J15" s="271"/>
      <c r="K15" s="270"/>
      <c r="L15" s="269"/>
    </row>
    <row r="16" spans="1:12" x14ac:dyDescent="0.2">
      <c r="A16" s="278">
        <v>8</v>
      </c>
      <c r="B16" s="277"/>
      <c r="C16" s="276"/>
      <c r="D16" s="275"/>
      <c r="E16" s="274"/>
      <c r="F16" s="273"/>
      <c r="G16" s="273"/>
      <c r="H16" s="273"/>
      <c r="I16" s="272"/>
      <c r="J16" s="271"/>
      <c r="K16" s="270"/>
      <c r="L16" s="269"/>
    </row>
    <row r="17" spans="1:12" x14ac:dyDescent="0.2">
      <c r="A17" s="278">
        <v>9</v>
      </c>
      <c r="B17" s="277"/>
      <c r="C17" s="276"/>
      <c r="D17" s="275"/>
      <c r="E17" s="274"/>
      <c r="F17" s="273"/>
      <c r="G17" s="273"/>
      <c r="H17" s="273"/>
      <c r="I17" s="272"/>
      <c r="J17" s="271"/>
      <c r="K17" s="270"/>
      <c r="L17" s="269"/>
    </row>
    <row r="18" spans="1:12" x14ac:dyDescent="0.2">
      <c r="A18" s="278">
        <v>10</v>
      </c>
      <c r="B18" s="277"/>
      <c r="C18" s="276"/>
      <c r="D18" s="275"/>
      <c r="E18" s="274"/>
      <c r="F18" s="273"/>
      <c r="G18" s="273"/>
      <c r="H18" s="273"/>
      <c r="I18" s="272"/>
      <c r="J18" s="271"/>
      <c r="K18" s="270"/>
      <c r="L18" s="269"/>
    </row>
    <row r="19" spans="1:12" ht="15.75" thickBot="1" x14ac:dyDescent="0.25">
      <c r="A19" s="268" t="s">
        <v>259</v>
      </c>
      <c r="B19" s="267"/>
      <c r="C19" s="266"/>
      <c r="D19" s="265"/>
      <c r="E19" s="264"/>
      <c r="F19" s="263"/>
      <c r="G19" s="263"/>
      <c r="H19" s="263"/>
      <c r="I19" s="262"/>
      <c r="J19" s="261"/>
      <c r="K19" s="260"/>
      <c r="L19" s="259"/>
    </row>
    <row r="20" spans="1:12" x14ac:dyDescent="0.2">
      <c r="A20" s="249"/>
      <c r="B20" s="250"/>
      <c r="C20" s="249"/>
      <c r="D20" s="250"/>
      <c r="E20" s="249"/>
      <c r="F20" s="250"/>
      <c r="G20" s="249"/>
      <c r="H20" s="250"/>
      <c r="I20" s="249"/>
      <c r="J20" s="250"/>
      <c r="K20" s="249"/>
      <c r="L20" s="250"/>
    </row>
    <row r="21" spans="1:12" x14ac:dyDescent="0.2">
      <c r="A21" s="249"/>
      <c r="B21" s="256"/>
      <c r="C21" s="249"/>
      <c r="D21" s="256"/>
      <c r="E21" s="249"/>
      <c r="F21" s="256"/>
      <c r="G21" s="249"/>
      <c r="H21" s="256"/>
      <c r="I21" s="249"/>
      <c r="J21" s="256"/>
      <c r="K21" s="249"/>
      <c r="L21" s="256"/>
    </row>
    <row r="22" spans="1:12" s="257" customFormat="1" x14ac:dyDescent="0.2">
      <c r="A22" s="474" t="s">
        <v>375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</row>
    <row r="23" spans="1:12" s="258" customFormat="1" ht="12.75" x14ac:dyDescent="0.2">
      <c r="A23" s="474" t="s">
        <v>400</v>
      </c>
      <c r="B23" s="474"/>
      <c r="C23" s="474"/>
      <c r="D23" s="474"/>
      <c r="E23" s="474"/>
      <c r="F23" s="474"/>
      <c r="G23" s="474"/>
      <c r="H23" s="474"/>
      <c r="I23" s="474"/>
      <c r="J23" s="474"/>
      <c r="K23" s="474"/>
      <c r="L23" s="474"/>
    </row>
    <row r="24" spans="1:12" s="258" customFormat="1" ht="12.75" x14ac:dyDescent="0.2">
      <c r="A24" s="474"/>
      <c r="B24" s="474"/>
      <c r="C24" s="474"/>
      <c r="D24" s="474"/>
      <c r="E24" s="474"/>
      <c r="F24" s="474"/>
      <c r="G24" s="474"/>
      <c r="H24" s="474"/>
      <c r="I24" s="474"/>
      <c r="J24" s="474"/>
      <c r="K24" s="474"/>
      <c r="L24" s="474"/>
    </row>
    <row r="25" spans="1:12" s="257" customFormat="1" x14ac:dyDescent="0.2">
      <c r="A25" s="474" t="s">
        <v>399</v>
      </c>
      <c r="B25" s="474"/>
      <c r="C25" s="474"/>
      <c r="D25" s="474"/>
      <c r="E25" s="474"/>
      <c r="F25" s="474"/>
      <c r="G25" s="474"/>
      <c r="H25" s="474"/>
      <c r="I25" s="474"/>
      <c r="J25" s="474"/>
      <c r="K25" s="474"/>
      <c r="L25" s="474"/>
    </row>
    <row r="26" spans="1:12" s="257" customFormat="1" x14ac:dyDescent="0.2">
      <c r="A26" s="474"/>
      <c r="B26" s="474"/>
      <c r="C26" s="474"/>
      <c r="D26" s="474"/>
      <c r="E26" s="474"/>
      <c r="F26" s="474"/>
      <c r="G26" s="474"/>
      <c r="H26" s="474"/>
      <c r="I26" s="474"/>
      <c r="J26" s="474"/>
      <c r="K26" s="474"/>
      <c r="L26" s="474"/>
    </row>
    <row r="27" spans="1:12" s="257" customFormat="1" x14ac:dyDescent="0.2">
      <c r="A27" s="474" t="s">
        <v>398</v>
      </c>
      <c r="B27" s="474"/>
      <c r="C27" s="474"/>
      <c r="D27" s="474"/>
      <c r="E27" s="474"/>
      <c r="F27" s="474"/>
      <c r="G27" s="474"/>
      <c r="H27" s="474"/>
      <c r="I27" s="474"/>
      <c r="J27" s="474"/>
      <c r="K27" s="474"/>
      <c r="L27" s="474"/>
    </row>
    <row r="28" spans="1:12" s="257" customFormat="1" x14ac:dyDescent="0.2">
      <c r="A28" s="249"/>
      <c r="B28" s="250"/>
      <c r="C28" s="249"/>
      <c r="D28" s="250"/>
      <c r="E28" s="249"/>
      <c r="F28" s="250"/>
      <c r="G28" s="249"/>
      <c r="H28" s="250"/>
      <c r="I28" s="249"/>
      <c r="J28" s="250"/>
      <c r="K28" s="249"/>
      <c r="L28" s="250"/>
    </row>
    <row r="29" spans="1:12" s="257" customFormat="1" x14ac:dyDescent="0.2">
      <c r="A29" s="249"/>
      <c r="B29" s="256"/>
      <c r="C29" s="249"/>
      <c r="D29" s="256"/>
      <c r="E29" s="249"/>
      <c r="F29" s="256"/>
      <c r="G29" s="249"/>
      <c r="H29" s="256"/>
      <c r="I29" s="249"/>
      <c r="J29" s="256"/>
      <c r="K29" s="249"/>
      <c r="L29" s="256"/>
    </row>
    <row r="30" spans="1:12" s="257" customFormat="1" x14ac:dyDescent="0.2">
      <c r="A30" s="249"/>
      <c r="B30" s="250"/>
      <c r="C30" s="249"/>
      <c r="D30" s="250"/>
      <c r="E30" s="249"/>
      <c r="F30" s="250"/>
      <c r="G30" s="249"/>
      <c r="H30" s="250"/>
      <c r="I30" s="249"/>
      <c r="J30" s="250"/>
      <c r="K30" s="249"/>
      <c r="L30" s="250"/>
    </row>
    <row r="31" spans="1:12" x14ac:dyDescent="0.2">
      <c r="A31" s="249"/>
      <c r="B31" s="256"/>
      <c r="C31" s="249"/>
      <c r="D31" s="256"/>
      <c r="E31" s="249"/>
      <c r="F31" s="256"/>
      <c r="G31" s="249"/>
      <c r="H31" s="256"/>
      <c r="I31" s="249"/>
      <c r="J31" s="256"/>
      <c r="K31" s="249"/>
      <c r="L31" s="256"/>
    </row>
    <row r="32" spans="1:12" s="251" customFormat="1" x14ac:dyDescent="0.2">
      <c r="A32" s="480" t="s">
        <v>96</v>
      </c>
      <c r="B32" s="480"/>
      <c r="C32" s="250"/>
      <c r="D32" s="249"/>
      <c r="E32" s="250"/>
      <c r="F32" s="250"/>
      <c r="G32" s="249"/>
      <c r="H32" s="250"/>
      <c r="I32" s="250"/>
      <c r="J32" s="249"/>
      <c r="K32" s="250"/>
      <c r="L32" s="249"/>
    </row>
    <row r="33" spans="1:12" s="251" customFormat="1" x14ac:dyDescent="0.2">
      <c r="A33" s="250"/>
      <c r="B33" s="249"/>
      <c r="C33" s="254"/>
      <c r="D33" s="255"/>
      <c r="E33" s="254"/>
      <c r="F33" s="250"/>
      <c r="G33" s="249"/>
      <c r="H33" s="253"/>
      <c r="I33" s="250"/>
      <c r="J33" s="249"/>
      <c r="K33" s="250"/>
      <c r="L33" s="249"/>
    </row>
    <row r="34" spans="1:12" s="251" customFormat="1" ht="15" customHeight="1" x14ac:dyDescent="0.2">
      <c r="A34" s="250"/>
      <c r="B34" s="249"/>
      <c r="C34" s="473" t="s">
        <v>251</v>
      </c>
      <c r="D34" s="473"/>
      <c r="E34" s="473"/>
      <c r="F34" s="250"/>
      <c r="G34" s="249"/>
      <c r="H34" s="478" t="s">
        <v>397</v>
      </c>
      <c r="I34" s="252"/>
      <c r="J34" s="249"/>
      <c r="K34" s="250"/>
      <c r="L34" s="249"/>
    </row>
    <row r="35" spans="1:12" s="251" customFormat="1" x14ac:dyDescent="0.2">
      <c r="A35" s="250"/>
      <c r="B35" s="249"/>
      <c r="C35" s="250"/>
      <c r="D35" s="249"/>
      <c r="E35" s="250"/>
      <c r="F35" s="250"/>
      <c r="G35" s="249"/>
      <c r="H35" s="479"/>
      <c r="I35" s="252"/>
      <c r="J35" s="249"/>
      <c r="K35" s="250"/>
      <c r="L35" s="249"/>
    </row>
    <row r="36" spans="1:12" s="248" customFormat="1" x14ac:dyDescent="0.2">
      <c r="A36" s="250"/>
      <c r="B36" s="249"/>
      <c r="C36" s="473" t="s">
        <v>127</v>
      </c>
      <c r="D36" s="473"/>
      <c r="E36" s="473"/>
      <c r="F36" s="250"/>
      <c r="G36" s="249"/>
      <c r="H36" s="250"/>
      <c r="I36" s="250"/>
      <c r="J36" s="249"/>
      <c r="K36" s="250"/>
      <c r="L36" s="249"/>
    </row>
    <row r="37" spans="1:12" s="248" customFormat="1" x14ac:dyDescent="0.2">
      <c r="E37" s="246"/>
    </row>
    <row r="38" spans="1:12" s="248" customFormat="1" x14ac:dyDescent="0.2">
      <c r="E38" s="246"/>
    </row>
    <row r="39" spans="1:12" s="248" customFormat="1" x14ac:dyDescent="0.2">
      <c r="E39" s="246"/>
    </row>
    <row r="40" spans="1:12" s="248" customFormat="1" x14ac:dyDescent="0.2">
      <c r="E40" s="246"/>
    </row>
    <row r="41" spans="1:12" s="248" customFormat="1" x14ac:dyDescent="0.2"/>
  </sheetData>
  <mergeCells count="10">
    <mergeCell ref="K2:L2"/>
    <mergeCell ref="C36:E36"/>
    <mergeCell ref="A23:L24"/>
    <mergeCell ref="A25:L26"/>
    <mergeCell ref="A27:L27"/>
    <mergeCell ref="I6:K6"/>
    <mergeCell ref="H34:H35"/>
    <mergeCell ref="A32:B32"/>
    <mergeCell ref="A22:L22"/>
    <mergeCell ref="C34:E34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6:F19 F9:F11 F13:F14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9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9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'[1]ფორმა N1'!#REF!</xm:f>
          </x14:formula1>
          <xm:sqref>A5:B5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7"/>
  <sheetViews>
    <sheetView view="pageBreakPreview" topLeftCell="A16" zoomScale="80" zoomScaleSheetLayoutView="80" workbookViewId="0">
      <selection activeCell="G10" sqref="G10"/>
    </sheetView>
  </sheetViews>
  <sheetFormatPr defaultColWidth="9.140625" defaultRowHeight="12.75" x14ac:dyDescent="0.2"/>
  <cols>
    <col min="1" max="1" width="5.42578125" style="176" customWidth="1"/>
    <col min="2" max="2" width="20" style="176" customWidth="1"/>
    <col min="3" max="3" width="27.5703125" style="176" customWidth="1"/>
    <col min="4" max="4" width="19.28515625" style="176" customWidth="1"/>
    <col min="5" max="5" width="16.85546875" style="176" customWidth="1"/>
    <col min="6" max="6" width="13.140625" style="176" customWidth="1"/>
    <col min="7" max="7" width="17" style="176" customWidth="1"/>
    <col min="8" max="8" width="13.7109375" style="176" customWidth="1"/>
    <col min="9" max="9" width="19.42578125" style="176" bestFit="1" customWidth="1"/>
    <col min="10" max="10" width="18.5703125" style="176" bestFit="1" customWidth="1"/>
    <col min="11" max="11" width="16.7109375" style="176" customWidth="1"/>
    <col min="12" max="12" width="17.7109375" style="176" customWidth="1"/>
    <col min="13" max="13" width="12.85546875" style="176" customWidth="1"/>
    <col min="14" max="16384" width="9.140625" style="176"/>
  </cols>
  <sheetData>
    <row r="2" spans="1:13" ht="15" x14ac:dyDescent="0.3">
      <c r="A2" s="485" t="s">
        <v>412</v>
      </c>
      <c r="B2" s="485"/>
      <c r="C2" s="485"/>
      <c r="D2" s="485"/>
      <c r="E2" s="485"/>
      <c r="F2" s="327"/>
      <c r="G2" s="75"/>
      <c r="H2" s="75"/>
      <c r="I2" s="75"/>
      <c r="J2" s="75"/>
      <c r="K2" s="244"/>
      <c r="L2" s="245"/>
      <c r="M2" s="245" t="s">
        <v>97</v>
      </c>
    </row>
    <row r="3" spans="1:13" ht="15" x14ac:dyDescent="0.3">
      <c r="A3" s="74" t="s">
        <v>128</v>
      </c>
      <c r="B3" s="74"/>
      <c r="C3" s="72"/>
      <c r="D3" s="75"/>
      <c r="E3" s="75"/>
      <c r="F3" s="75"/>
      <c r="G3" s="75"/>
      <c r="H3" s="75"/>
      <c r="I3" s="75"/>
      <c r="J3" s="75"/>
      <c r="K3" s="244"/>
      <c r="L3" s="471" t="s">
        <v>1112</v>
      </c>
      <c r="M3" s="472"/>
    </row>
    <row r="4" spans="1:13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244"/>
      <c r="L4" s="244"/>
      <c r="M4" s="244"/>
    </row>
    <row r="5" spans="1:13" ht="15" x14ac:dyDescent="0.3">
      <c r="A5" s="75" t="s">
        <v>257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78" t="str">
        <f>'ფორმა N1'!A5</f>
        <v>მპგ ,, ქართული ოცნება დემოკრატიული საქართველო"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243"/>
      <c r="B8" s="349"/>
      <c r="C8" s="243"/>
      <c r="D8" s="243"/>
      <c r="E8" s="243"/>
      <c r="F8" s="243"/>
      <c r="G8" s="243"/>
      <c r="H8" s="243"/>
      <c r="I8" s="243"/>
      <c r="J8" s="243"/>
      <c r="K8" s="76"/>
      <c r="L8" s="76"/>
      <c r="M8" s="76"/>
    </row>
    <row r="9" spans="1:13" ht="45" x14ac:dyDescent="0.2">
      <c r="A9" s="88" t="s">
        <v>64</v>
      </c>
      <c r="B9" s="88" t="s">
        <v>475</v>
      </c>
      <c r="C9" s="88" t="s">
        <v>413</v>
      </c>
      <c r="D9" s="88" t="s">
        <v>414</v>
      </c>
      <c r="E9" s="88" t="s">
        <v>415</v>
      </c>
      <c r="F9" s="88" t="s">
        <v>416</v>
      </c>
      <c r="G9" s="88" t="s">
        <v>417</v>
      </c>
      <c r="H9" s="88" t="s">
        <v>418</v>
      </c>
      <c r="I9" s="88" t="s">
        <v>419</v>
      </c>
      <c r="J9" s="88" t="s">
        <v>420</v>
      </c>
      <c r="K9" s="88" t="s">
        <v>421</v>
      </c>
      <c r="L9" s="88" t="s">
        <v>422</v>
      </c>
      <c r="M9" s="88" t="s">
        <v>299</v>
      </c>
    </row>
    <row r="10" spans="1:13" ht="45" x14ac:dyDescent="0.25">
      <c r="A10" s="96">
        <v>1</v>
      </c>
      <c r="B10" s="412">
        <v>43399</v>
      </c>
      <c r="C10" s="328" t="s">
        <v>489</v>
      </c>
      <c r="D10" s="410" t="s">
        <v>490</v>
      </c>
      <c r="E10" s="96"/>
      <c r="F10" s="411" t="s">
        <v>491</v>
      </c>
      <c r="G10" s="96"/>
      <c r="H10" s="96"/>
      <c r="I10" s="411" t="s">
        <v>491</v>
      </c>
      <c r="J10" s="96"/>
      <c r="K10" s="4"/>
      <c r="L10" s="4">
        <v>4061</v>
      </c>
      <c r="M10" s="96"/>
    </row>
    <row r="11" spans="1:13" ht="45" x14ac:dyDescent="0.25">
      <c r="A11" s="96">
        <v>2</v>
      </c>
      <c r="B11" s="412">
        <v>43168</v>
      </c>
      <c r="C11" s="328" t="s">
        <v>489</v>
      </c>
      <c r="D11" s="410" t="s">
        <v>490</v>
      </c>
      <c r="E11" s="96"/>
      <c r="F11" s="411" t="s">
        <v>491</v>
      </c>
      <c r="G11" s="96"/>
      <c r="H11" s="96"/>
      <c r="I11" s="411" t="s">
        <v>491</v>
      </c>
      <c r="J11" s="96"/>
      <c r="K11" s="4"/>
      <c r="L11" s="4">
        <v>644.73</v>
      </c>
      <c r="M11" s="96"/>
    </row>
    <row r="12" spans="1:13" ht="45" x14ac:dyDescent="0.25">
      <c r="A12" s="96">
        <v>3</v>
      </c>
      <c r="B12" s="412">
        <v>43290</v>
      </c>
      <c r="C12" s="328" t="s">
        <v>489</v>
      </c>
      <c r="D12" s="410" t="s">
        <v>490</v>
      </c>
      <c r="E12" s="96"/>
      <c r="F12" s="411" t="s">
        <v>491</v>
      </c>
      <c r="G12" s="96"/>
      <c r="H12" s="96"/>
      <c r="I12" s="411" t="s">
        <v>491</v>
      </c>
      <c r="J12" s="96"/>
      <c r="K12" s="4"/>
      <c r="L12" s="4">
        <v>655.04999999999995</v>
      </c>
      <c r="M12" s="96"/>
    </row>
    <row r="13" spans="1:13" ht="45" x14ac:dyDescent="0.25">
      <c r="A13" s="96">
        <v>4</v>
      </c>
      <c r="B13" s="399" t="s">
        <v>939</v>
      </c>
      <c r="C13" s="328" t="s">
        <v>489</v>
      </c>
      <c r="D13" s="410" t="s">
        <v>490</v>
      </c>
      <c r="E13" s="96"/>
      <c r="F13" s="411" t="s">
        <v>491</v>
      </c>
      <c r="G13" s="96"/>
      <c r="H13" s="96"/>
      <c r="I13" s="411" t="s">
        <v>491</v>
      </c>
      <c r="J13" s="96"/>
      <c r="K13" s="4"/>
      <c r="L13" s="4">
        <v>435.73</v>
      </c>
      <c r="M13" s="85"/>
    </row>
    <row r="14" spans="1:13" ht="45" x14ac:dyDescent="0.25">
      <c r="A14" s="96">
        <v>5</v>
      </c>
      <c r="B14" s="412" t="s">
        <v>940</v>
      </c>
      <c r="C14" s="328" t="s">
        <v>489</v>
      </c>
      <c r="D14" s="410" t="s">
        <v>490</v>
      </c>
      <c r="E14" s="96"/>
      <c r="F14" s="411" t="s">
        <v>491</v>
      </c>
      <c r="G14" s="96"/>
      <c r="H14" s="96"/>
      <c r="I14" s="411" t="s">
        <v>491</v>
      </c>
      <c r="J14" s="96"/>
      <c r="K14" s="4"/>
      <c r="L14" s="4">
        <v>654.98</v>
      </c>
      <c r="M14" s="96"/>
    </row>
    <row r="15" spans="1:13" ht="45" x14ac:dyDescent="0.25">
      <c r="A15" s="96">
        <v>6</v>
      </c>
      <c r="B15" s="412">
        <v>43322</v>
      </c>
      <c r="C15" s="328" t="s">
        <v>489</v>
      </c>
      <c r="D15" s="410" t="s">
        <v>490</v>
      </c>
      <c r="E15" s="96"/>
      <c r="F15" s="411" t="s">
        <v>491</v>
      </c>
      <c r="G15" s="96"/>
      <c r="H15" s="96"/>
      <c r="I15" s="411" t="s">
        <v>491</v>
      </c>
      <c r="J15" s="96"/>
      <c r="K15" s="422"/>
      <c r="L15" s="422">
        <v>654.65</v>
      </c>
      <c r="M15" s="96"/>
    </row>
    <row r="16" spans="1:13" ht="60" x14ac:dyDescent="0.25">
      <c r="A16" s="96">
        <v>7</v>
      </c>
      <c r="B16" s="412">
        <v>43322</v>
      </c>
      <c r="C16" s="421" t="s">
        <v>941</v>
      </c>
      <c r="D16" s="411" t="s">
        <v>942</v>
      </c>
      <c r="E16" s="96">
        <v>404379294</v>
      </c>
      <c r="F16" s="411" t="s">
        <v>491</v>
      </c>
      <c r="G16" s="96"/>
      <c r="H16" s="96"/>
      <c r="I16" s="411" t="s">
        <v>491</v>
      </c>
      <c r="J16" s="96"/>
      <c r="K16" s="422"/>
      <c r="L16" s="422">
        <v>99.37</v>
      </c>
      <c r="M16" s="85" t="s">
        <v>943</v>
      </c>
    </row>
    <row r="17" spans="1:13" ht="45" x14ac:dyDescent="0.25">
      <c r="A17" s="96">
        <v>8</v>
      </c>
      <c r="B17" s="399"/>
      <c r="C17" s="328" t="s">
        <v>489</v>
      </c>
      <c r="D17" s="410" t="s">
        <v>490</v>
      </c>
      <c r="E17" s="96"/>
      <c r="F17" s="411" t="s">
        <v>491</v>
      </c>
      <c r="G17" s="96"/>
      <c r="H17" s="96"/>
      <c r="I17" s="411" t="s">
        <v>491</v>
      </c>
      <c r="J17" s="96"/>
      <c r="K17" s="4"/>
      <c r="L17" s="4">
        <v>2709</v>
      </c>
      <c r="M17" s="85"/>
    </row>
    <row r="18" spans="1:13" ht="45" x14ac:dyDescent="0.25">
      <c r="A18" s="96">
        <v>9</v>
      </c>
      <c r="B18" s="412">
        <v>43142</v>
      </c>
      <c r="C18" s="421" t="s">
        <v>941</v>
      </c>
      <c r="D18" s="411" t="s">
        <v>942</v>
      </c>
      <c r="E18" s="96">
        <v>404379294</v>
      </c>
      <c r="F18" s="411" t="s">
        <v>491</v>
      </c>
      <c r="G18" s="411"/>
      <c r="H18" s="96"/>
      <c r="I18" s="411" t="s">
        <v>491</v>
      </c>
      <c r="J18" s="96"/>
      <c r="K18" s="4"/>
      <c r="L18" s="4">
        <v>95</v>
      </c>
      <c r="M18" s="85" t="s">
        <v>1131</v>
      </c>
    </row>
    <row r="19" spans="1:13" ht="15" x14ac:dyDescent="0.25">
      <c r="A19" s="96"/>
      <c r="B19" s="399"/>
      <c r="C19" s="328"/>
      <c r="D19" s="410"/>
      <c r="E19" s="96"/>
      <c r="F19" s="411"/>
      <c r="G19" s="96"/>
      <c r="H19" s="96"/>
      <c r="I19" s="411"/>
      <c r="J19" s="96"/>
      <c r="K19" s="4"/>
      <c r="L19" s="4"/>
      <c r="M19" s="85"/>
    </row>
    <row r="20" spans="1:13" ht="15" x14ac:dyDescent="0.25">
      <c r="A20" s="96"/>
      <c r="B20" s="399"/>
      <c r="C20" s="328"/>
      <c r="D20" s="410"/>
      <c r="E20" s="96"/>
      <c r="F20" s="411"/>
      <c r="G20" s="96"/>
      <c r="H20" s="96"/>
      <c r="I20" s="411"/>
      <c r="J20" s="96"/>
      <c r="K20" s="4"/>
      <c r="L20" s="4"/>
      <c r="M20" s="85"/>
    </row>
    <row r="21" spans="1:13" ht="15" x14ac:dyDescent="0.25">
      <c r="A21" s="96"/>
      <c r="B21" s="399"/>
      <c r="C21" s="328"/>
      <c r="D21" s="410"/>
      <c r="E21" s="96"/>
      <c r="F21" s="411"/>
      <c r="G21" s="96"/>
      <c r="H21" s="96"/>
      <c r="I21" s="411"/>
      <c r="J21" s="96"/>
      <c r="K21" s="4"/>
      <c r="L21" s="4"/>
      <c r="M21" s="85"/>
    </row>
    <row r="22" spans="1:13" ht="15" x14ac:dyDescent="0.25">
      <c r="A22" s="96"/>
      <c r="B22" s="399"/>
      <c r="C22" s="328"/>
      <c r="D22" s="410"/>
      <c r="E22" s="96"/>
      <c r="F22" s="411"/>
      <c r="G22" s="96"/>
      <c r="H22" s="96"/>
      <c r="I22" s="411"/>
      <c r="J22" s="96"/>
      <c r="K22" s="4"/>
      <c r="L22" s="4"/>
      <c r="M22" s="85"/>
    </row>
    <row r="23" spans="1:13" ht="15" x14ac:dyDescent="0.2">
      <c r="A23" s="85" t="s">
        <v>259</v>
      </c>
      <c r="B23" s="400"/>
      <c r="C23" s="328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 x14ac:dyDescent="0.3">
      <c r="A24" s="85"/>
      <c r="B24" s="400"/>
      <c r="C24" s="328"/>
      <c r="D24" s="97"/>
      <c r="E24" s="97"/>
      <c r="F24" s="97"/>
      <c r="G24" s="97"/>
      <c r="H24" s="85"/>
      <c r="I24" s="85"/>
      <c r="J24" s="85"/>
      <c r="K24" s="85" t="s">
        <v>423</v>
      </c>
      <c r="L24" s="84">
        <f>SUM(L10:L23)</f>
        <v>10009.509999999998</v>
      </c>
      <c r="M24" s="85"/>
    </row>
    <row r="25" spans="1:13" ht="15" x14ac:dyDescent="0.3">
      <c r="A25" s="200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175"/>
    </row>
    <row r="26" spans="1:13" ht="15" x14ac:dyDescent="0.3">
      <c r="A26" s="201" t="s">
        <v>424</v>
      </c>
      <c r="B26" s="201"/>
      <c r="C26" s="201"/>
      <c r="D26" s="200"/>
      <c r="E26" s="200"/>
      <c r="F26" s="200"/>
      <c r="G26" s="200"/>
      <c r="H26" s="200"/>
      <c r="I26" s="200"/>
      <c r="J26" s="200"/>
      <c r="K26" s="200"/>
      <c r="L26" s="175"/>
    </row>
    <row r="27" spans="1:13" ht="15" x14ac:dyDescent="0.3">
      <c r="A27" s="201" t="s">
        <v>425</v>
      </c>
      <c r="B27" s="201"/>
      <c r="C27" s="201"/>
      <c r="D27" s="200"/>
      <c r="E27" s="200"/>
      <c r="F27" s="200"/>
      <c r="G27" s="200"/>
      <c r="H27" s="200"/>
      <c r="I27" s="200"/>
      <c r="J27" s="200"/>
      <c r="K27" s="200"/>
      <c r="L27" s="175"/>
    </row>
    <row r="28" spans="1:13" ht="15" x14ac:dyDescent="0.3">
      <c r="A28" s="191" t="s">
        <v>426</v>
      </c>
      <c r="B28" s="191"/>
      <c r="C28" s="201"/>
      <c r="D28" s="175"/>
      <c r="E28" s="175"/>
      <c r="F28" s="175"/>
      <c r="G28" s="175"/>
      <c r="H28" s="175"/>
      <c r="I28" s="175"/>
      <c r="J28" s="175"/>
      <c r="K28" s="175"/>
      <c r="L28" s="175"/>
    </row>
    <row r="29" spans="1:13" ht="15" x14ac:dyDescent="0.3">
      <c r="A29" s="191" t="s">
        <v>427</v>
      </c>
      <c r="B29" s="191"/>
      <c r="C29" s="201"/>
      <c r="D29" s="175"/>
      <c r="E29" s="175"/>
      <c r="F29" s="175"/>
      <c r="G29" s="175"/>
      <c r="H29" s="175"/>
      <c r="I29" s="175"/>
      <c r="J29" s="175"/>
      <c r="K29" s="175"/>
      <c r="L29" s="175"/>
    </row>
    <row r="30" spans="1:13" ht="15" customHeight="1" x14ac:dyDescent="0.2">
      <c r="A30" s="490" t="s">
        <v>442</v>
      </c>
      <c r="B30" s="490"/>
      <c r="C30" s="490"/>
      <c r="D30" s="490"/>
      <c r="E30" s="490"/>
      <c r="F30" s="490"/>
      <c r="G30" s="490"/>
      <c r="H30" s="490"/>
      <c r="I30" s="490"/>
      <c r="J30" s="490"/>
      <c r="K30" s="490"/>
      <c r="L30" s="490"/>
    </row>
    <row r="31" spans="1:13" ht="15" customHeight="1" x14ac:dyDescent="0.2">
      <c r="A31" s="490"/>
      <c r="B31" s="490"/>
      <c r="C31" s="490"/>
      <c r="D31" s="490"/>
      <c r="E31" s="490"/>
      <c r="F31" s="490"/>
      <c r="G31" s="490"/>
      <c r="H31" s="490"/>
      <c r="I31" s="490"/>
      <c r="J31" s="490"/>
      <c r="K31" s="490"/>
      <c r="L31" s="490"/>
    </row>
    <row r="32" spans="1:13" ht="12.75" customHeight="1" x14ac:dyDescent="0.2">
      <c r="A32" s="345"/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</row>
    <row r="33" spans="1:12" ht="15" x14ac:dyDescent="0.3">
      <c r="A33" s="486" t="s">
        <v>96</v>
      </c>
      <c r="B33" s="486"/>
      <c r="C33" s="486"/>
      <c r="D33" s="329"/>
      <c r="E33" s="330"/>
      <c r="F33" s="330"/>
      <c r="G33" s="329"/>
      <c r="H33" s="329"/>
      <c r="I33" s="329"/>
      <c r="J33" s="329"/>
      <c r="K33" s="329"/>
      <c r="L33" s="175"/>
    </row>
    <row r="34" spans="1:12" ht="15" x14ac:dyDescent="0.3">
      <c r="A34" s="329"/>
      <c r="B34" s="329"/>
      <c r="C34" s="330"/>
      <c r="D34" s="329"/>
      <c r="E34" s="330"/>
      <c r="F34" s="330"/>
      <c r="G34" s="329"/>
      <c r="H34" s="329"/>
      <c r="I34" s="329"/>
      <c r="J34" s="329"/>
      <c r="K34" s="331"/>
      <c r="L34" s="175"/>
    </row>
    <row r="35" spans="1:12" ht="15" customHeight="1" x14ac:dyDescent="0.3">
      <c r="A35" s="329"/>
      <c r="B35" s="329"/>
      <c r="C35" s="330"/>
      <c r="D35" s="487" t="s">
        <v>251</v>
      </c>
      <c r="E35" s="487"/>
      <c r="F35" s="332"/>
      <c r="G35" s="333"/>
      <c r="H35" s="488" t="s">
        <v>428</v>
      </c>
      <c r="I35" s="488"/>
      <c r="J35" s="488"/>
      <c r="K35" s="334"/>
      <c r="L35" s="175"/>
    </row>
    <row r="36" spans="1:12" ht="15" x14ac:dyDescent="0.3">
      <c r="A36" s="329"/>
      <c r="B36" s="329"/>
      <c r="C36" s="330"/>
      <c r="D36" s="329"/>
      <c r="E36" s="330"/>
      <c r="F36" s="330"/>
      <c r="G36" s="329"/>
      <c r="H36" s="489"/>
      <c r="I36" s="489"/>
      <c r="J36" s="489"/>
      <c r="K36" s="334"/>
      <c r="L36" s="175"/>
    </row>
    <row r="37" spans="1:12" ht="15" x14ac:dyDescent="0.3">
      <c r="A37" s="329"/>
      <c r="B37" s="329"/>
      <c r="C37" s="330"/>
      <c r="D37" s="484" t="s">
        <v>127</v>
      </c>
      <c r="E37" s="484"/>
      <c r="F37" s="332"/>
      <c r="G37" s="333"/>
      <c r="H37" s="329"/>
      <c r="I37" s="329"/>
      <c r="J37" s="329"/>
      <c r="K37" s="329"/>
      <c r="L37" s="175"/>
    </row>
  </sheetData>
  <mergeCells count="7">
    <mergeCell ref="D37:E37"/>
    <mergeCell ref="A2:E2"/>
    <mergeCell ref="L3:M3"/>
    <mergeCell ref="A33:C33"/>
    <mergeCell ref="D35:E35"/>
    <mergeCell ref="H35:J36"/>
    <mergeCell ref="A30:L31"/>
  </mergeCells>
  <dataValidations count="1">
    <dataValidation type="list" allowBlank="1" showInputMessage="1" showErrorMessage="1" sqref="C10:C24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93"/>
  <sheetViews>
    <sheetView showGridLines="0" view="pageBreakPreview" topLeftCell="A57" zoomScale="80" zoomScaleNormal="100" zoomScaleSheetLayoutView="80" workbookViewId="0">
      <selection activeCell="D10" sqref="D10:D79"/>
    </sheetView>
  </sheetViews>
  <sheetFormatPr defaultColWidth="9.140625"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" width="0" style="2" hidden="1" customWidth="1"/>
    <col min="17" max="16384" width="9.140625" style="2"/>
  </cols>
  <sheetData>
    <row r="1" spans="1:13" x14ac:dyDescent="0.3">
      <c r="A1" s="72" t="s">
        <v>212</v>
      </c>
      <c r="B1" s="119"/>
      <c r="C1" s="491" t="s">
        <v>186</v>
      </c>
      <c r="D1" s="491"/>
      <c r="E1" s="103"/>
    </row>
    <row r="2" spans="1:13" x14ac:dyDescent="0.3">
      <c r="A2" s="74" t="s">
        <v>128</v>
      </c>
      <c r="B2" s="119"/>
      <c r="C2" s="75"/>
      <c r="D2" s="471" t="s">
        <v>1112</v>
      </c>
      <c r="E2" s="472"/>
    </row>
    <row r="3" spans="1:13" x14ac:dyDescent="0.3">
      <c r="A3" s="114"/>
      <c r="B3" s="119"/>
      <c r="C3" s="75"/>
      <c r="D3" s="75"/>
      <c r="E3" s="103"/>
    </row>
    <row r="4" spans="1:13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13" x14ac:dyDescent="0.3">
      <c r="A5" s="117" t="str">
        <f>'ფორმა N1'!A5</f>
        <v>მპგ ,, ქართული ოცნება დემოკრატიული საქართველო"</v>
      </c>
      <c r="B5" s="118"/>
      <c r="C5" s="118"/>
      <c r="D5" s="59"/>
      <c r="E5" s="106"/>
    </row>
    <row r="6" spans="1:13" x14ac:dyDescent="0.3">
      <c r="A6" s="75"/>
      <c r="B6" s="74"/>
      <c r="C6" s="74"/>
      <c r="D6" s="74"/>
      <c r="E6" s="106"/>
    </row>
    <row r="7" spans="1:13" x14ac:dyDescent="0.3">
      <c r="A7" s="113"/>
      <c r="B7" s="120"/>
      <c r="C7" s="121"/>
      <c r="D7" s="121"/>
      <c r="E7" s="103"/>
    </row>
    <row r="8" spans="1:13" ht="45" x14ac:dyDescent="0.3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13" x14ac:dyDescent="0.3">
      <c r="A9" s="49"/>
      <c r="B9" s="50"/>
      <c r="C9" s="150"/>
      <c r="D9" s="150"/>
      <c r="E9" s="103"/>
    </row>
    <row r="10" spans="1:13" x14ac:dyDescent="0.3">
      <c r="A10" s="51" t="s">
        <v>179</v>
      </c>
      <c r="B10" s="52"/>
      <c r="C10" s="408">
        <f>SUM(C11,C34)</f>
        <v>458109.99</v>
      </c>
      <c r="D10" s="408">
        <f>SUM(D11,D34)</f>
        <v>373860.73</v>
      </c>
      <c r="E10" s="103"/>
      <c r="G10" s="418">
        <f>C10+'ფორმა N2'!C9+'ფორმა N3'!C9-'ფორმა N4'!C11-'ფორმა N5'!C9</f>
        <v>370847.85999999987</v>
      </c>
      <c r="H10" s="418">
        <f>C10+'ფორმა N2'!C9+'ფორმა N3'!C9-'ფორმა N4'!C11-'ფორმა N5'!C9</f>
        <v>370847.85999999987</v>
      </c>
      <c r="I10" s="418"/>
      <c r="J10" s="408">
        <f>SUM(J11,J34)</f>
        <v>458109.93</v>
      </c>
      <c r="K10" s="408">
        <f>SUM(K11,K34)</f>
        <v>490300.95</v>
      </c>
      <c r="M10" s="408">
        <f>SUM(M11,M34)</f>
        <v>373861.05999999994</v>
      </c>
    </row>
    <row r="11" spans="1:13" x14ac:dyDescent="0.3">
      <c r="A11" s="53" t="s">
        <v>180</v>
      </c>
      <c r="B11" s="54"/>
      <c r="C11" s="409">
        <f>SUM(C12:C32)</f>
        <v>183797</v>
      </c>
      <c r="D11" s="409">
        <f>SUM(D12:D32)</f>
        <v>91709.939999999988</v>
      </c>
      <c r="E11" s="103"/>
      <c r="G11" s="418">
        <f>G10+G47</f>
        <v>373860.85999999987</v>
      </c>
      <c r="H11" s="418">
        <f>H10+H47-D10</f>
        <v>0.12999999988824129</v>
      </c>
      <c r="I11" s="418"/>
      <c r="J11" s="409">
        <f>SUM(J12:J32)</f>
        <v>183796.82</v>
      </c>
      <c r="K11" s="409">
        <f>SUM(K12:K32)</f>
        <v>203632.76</v>
      </c>
      <c r="M11" s="409">
        <f>SUM(M12:M32)</f>
        <v>91710.26999999999</v>
      </c>
    </row>
    <row r="12" spans="1:13" x14ac:dyDescent="0.3">
      <c r="A12" s="57">
        <v>1110</v>
      </c>
      <c r="B12" s="56" t="s">
        <v>130</v>
      </c>
      <c r="C12" s="8"/>
      <c r="D12" s="8"/>
      <c r="E12" s="103"/>
      <c r="G12" s="418">
        <f>G11-D10</f>
        <v>0.12999999988824129</v>
      </c>
      <c r="I12" s="418"/>
      <c r="J12" s="8"/>
      <c r="K12" s="8"/>
      <c r="M12" s="8"/>
    </row>
    <row r="13" spans="1:13" x14ac:dyDescent="0.3">
      <c r="A13" s="57">
        <v>1120</v>
      </c>
      <c r="B13" s="56" t="s">
        <v>131</v>
      </c>
      <c r="C13" s="8"/>
      <c r="D13" s="8"/>
      <c r="E13" s="103"/>
      <c r="J13" s="8"/>
      <c r="K13" s="8"/>
      <c r="M13" s="8"/>
    </row>
    <row r="14" spans="1:13" x14ac:dyDescent="0.3">
      <c r="A14" s="57">
        <v>1211</v>
      </c>
      <c r="B14" s="56" t="s">
        <v>132</v>
      </c>
      <c r="C14" s="407">
        <v>28367</v>
      </c>
      <c r="D14" s="407">
        <v>7132.3</v>
      </c>
      <c r="E14" s="103"/>
      <c r="G14" s="418">
        <f>C14+C15+'ფორმა N2'!D9+'ფორმა N3'!D9-'ფორმა N4'!D11-'ფორმა N5'!D9</f>
        <v>14503.780000000057</v>
      </c>
      <c r="H14" s="418">
        <f>C14+C15+'ფორმა N3'!D9-'ფორმა N4'!D11-'ფორმა N5'!D9</f>
        <v>14503.780000000057</v>
      </c>
      <c r="J14" s="407">
        <v>28367.03</v>
      </c>
      <c r="K14" s="407">
        <v>155766.03</v>
      </c>
      <c r="M14" s="407">
        <v>7132.3</v>
      </c>
    </row>
    <row r="15" spans="1:13" x14ac:dyDescent="0.3">
      <c r="A15" s="57">
        <v>1212</v>
      </c>
      <c r="B15" s="56" t="s">
        <v>133</v>
      </c>
      <c r="C15" s="407">
        <v>18043</v>
      </c>
      <c r="D15" s="420">
        <v>7371</v>
      </c>
      <c r="E15" s="103"/>
      <c r="G15" s="418">
        <f>G14-D14-D15</f>
        <v>0.48000000005686161</v>
      </c>
      <c r="H15" s="418">
        <f>H14-D14-D15</f>
        <v>0.48000000005686161</v>
      </c>
      <c r="J15" s="407">
        <v>18042.62</v>
      </c>
      <c r="K15" s="407">
        <v>16070.32</v>
      </c>
      <c r="M15" s="420">
        <v>7370.98</v>
      </c>
    </row>
    <row r="16" spans="1:13" x14ac:dyDescent="0.3">
      <c r="A16" s="57">
        <v>1213</v>
      </c>
      <c r="B16" s="56" t="s">
        <v>134</v>
      </c>
      <c r="C16" s="407"/>
      <c r="D16" s="407"/>
      <c r="E16" s="103"/>
      <c r="J16" s="407"/>
      <c r="K16" s="407"/>
      <c r="M16" s="407"/>
    </row>
    <row r="17" spans="1:13" x14ac:dyDescent="0.3">
      <c r="A17" s="57">
        <v>1214</v>
      </c>
      <c r="B17" s="56" t="s">
        <v>135</v>
      </c>
      <c r="C17" s="407"/>
      <c r="D17" s="407"/>
      <c r="E17" s="103"/>
      <c r="J17" s="407"/>
      <c r="K17" s="407"/>
      <c r="M17" s="407"/>
    </row>
    <row r="18" spans="1:13" x14ac:dyDescent="0.3">
      <c r="A18" s="57">
        <v>1215</v>
      </c>
      <c r="B18" s="56" t="s">
        <v>136</v>
      </c>
      <c r="C18" s="407"/>
      <c r="D18" s="407"/>
      <c r="E18" s="103"/>
      <c r="J18" s="407"/>
      <c r="K18" s="407"/>
      <c r="M18" s="407"/>
    </row>
    <row r="19" spans="1:13" x14ac:dyDescent="0.3">
      <c r="A19" s="57">
        <v>1300</v>
      </c>
      <c r="B19" s="56" t="s">
        <v>137</v>
      </c>
      <c r="C19" s="407"/>
      <c r="D19" s="407"/>
      <c r="E19" s="103"/>
      <c r="J19" s="407"/>
      <c r="K19" s="407"/>
      <c r="M19" s="407"/>
    </row>
    <row r="20" spans="1:13" x14ac:dyDescent="0.3">
      <c r="A20" s="57">
        <v>1410</v>
      </c>
      <c r="B20" s="56" t="s">
        <v>138</v>
      </c>
      <c r="C20" s="407"/>
      <c r="D20" s="407"/>
      <c r="E20" s="103"/>
      <c r="J20" s="407"/>
      <c r="K20" s="407"/>
      <c r="M20" s="407"/>
    </row>
    <row r="21" spans="1:13" x14ac:dyDescent="0.3">
      <c r="A21" s="57">
        <v>1421</v>
      </c>
      <c r="B21" s="56" t="s">
        <v>139</v>
      </c>
      <c r="C21" s="407"/>
      <c r="D21" s="407"/>
      <c r="E21" s="103"/>
      <c r="J21" s="407"/>
      <c r="K21" s="407"/>
      <c r="M21" s="407"/>
    </row>
    <row r="22" spans="1:13" x14ac:dyDescent="0.3">
      <c r="A22" s="57">
        <v>1422</v>
      </c>
      <c r="B22" s="56" t="s">
        <v>140</v>
      </c>
      <c r="C22" s="407"/>
      <c r="D22" s="407"/>
      <c r="E22" s="103"/>
      <c r="J22" s="407"/>
      <c r="K22" s="407"/>
      <c r="M22" s="407"/>
    </row>
    <row r="23" spans="1:13" x14ac:dyDescent="0.3">
      <c r="A23" s="57">
        <v>1423</v>
      </c>
      <c r="B23" s="56" t="s">
        <v>141</v>
      </c>
      <c r="C23" s="407">
        <v>120</v>
      </c>
      <c r="D23" s="407">
        <v>120</v>
      </c>
      <c r="E23" s="103"/>
      <c r="J23" s="407">
        <v>120</v>
      </c>
      <c r="K23" s="407">
        <v>120</v>
      </c>
      <c r="M23" s="407">
        <v>120</v>
      </c>
    </row>
    <row r="24" spans="1:13" x14ac:dyDescent="0.3">
      <c r="A24" s="57">
        <v>1431</v>
      </c>
      <c r="B24" s="56" t="s">
        <v>142</v>
      </c>
      <c r="C24" s="407"/>
      <c r="D24" s="407"/>
      <c r="E24" s="103"/>
      <c r="J24" s="407"/>
      <c r="K24" s="407"/>
      <c r="M24" s="407"/>
    </row>
    <row r="25" spans="1:13" x14ac:dyDescent="0.3">
      <c r="A25" s="57">
        <v>1432</v>
      </c>
      <c r="B25" s="56" t="s">
        <v>143</v>
      </c>
      <c r="C25" s="407"/>
      <c r="D25" s="407"/>
      <c r="E25" s="103"/>
      <c r="J25" s="407"/>
      <c r="K25" s="407"/>
      <c r="M25" s="407"/>
    </row>
    <row r="26" spans="1:13" x14ac:dyDescent="0.3">
      <c r="A26" s="57">
        <v>1433</v>
      </c>
      <c r="B26" s="56" t="s">
        <v>144</v>
      </c>
      <c r="C26" s="407">
        <v>5061</v>
      </c>
      <c r="D26" s="420">
        <v>4643</v>
      </c>
      <c r="E26" s="103"/>
      <c r="F26" s="418"/>
      <c r="H26" s="418"/>
      <c r="J26" s="407">
        <v>5060.8900000000003</v>
      </c>
      <c r="K26" s="407">
        <v>4823.41</v>
      </c>
      <c r="M26" s="420">
        <v>4643.3500000000004</v>
      </c>
    </row>
    <row r="27" spans="1:13" x14ac:dyDescent="0.3">
      <c r="A27" s="57">
        <v>1441</v>
      </c>
      <c r="B27" s="56" t="s">
        <v>145</v>
      </c>
      <c r="C27" s="407">
        <v>89744</v>
      </c>
      <c r="D27" s="407">
        <v>6581.21</v>
      </c>
      <c r="E27" s="103"/>
      <c r="J27" s="407">
        <f>21562.05+68182.23</f>
        <v>89744.28</v>
      </c>
      <c r="K27" s="407">
        <v>18135</v>
      </c>
      <c r="M27" s="420">
        <f>6581.21</f>
        <v>6581.21</v>
      </c>
    </row>
    <row r="28" spans="1:13" x14ac:dyDescent="0.3">
      <c r="A28" s="57">
        <v>1442</v>
      </c>
      <c r="B28" s="56" t="s">
        <v>146</v>
      </c>
      <c r="C28" s="407">
        <v>42462</v>
      </c>
      <c r="D28" s="407">
        <v>65862.429999999993</v>
      </c>
      <c r="E28" s="103"/>
      <c r="J28" s="407">
        <f>8237+33125+1100</f>
        <v>42462</v>
      </c>
      <c r="K28" s="407">
        <f>7618+1100</f>
        <v>8718</v>
      </c>
      <c r="M28" s="420">
        <f>64762.43+1100</f>
        <v>65862.429999999993</v>
      </c>
    </row>
    <row r="29" spans="1:13" x14ac:dyDescent="0.3">
      <c r="A29" s="57">
        <v>1443</v>
      </c>
      <c r="B29" s="56" t="s">
        <v>147</v>
      </c>
      <c r="C29" s="407"/>
      <c r="D29" s="407"/>
      <c r="E29" s="103"/>
      <c r="J29" s="407"/>
      <c r="K29" s="407"/>
      <c r="M29" s="420"/>
    </row>
    <row r="30" spans="1:13" x14ac:dyDescent="0.3">
      <c r="A30" s="57">
        <v>1444</v>
      </c>
      <c r="B30" s="56" t="s">
        <v>148</v>
      </c>
      <c r="C30" s="407"/>
      <c r="D30" s="407"/>
      <c r="E30" s="103"/>
      <c r="J30" s="407"/>
      <c r="K30" s="407"/>
      <c r="M30" s="407"/>
    </row>
    <row r="31" spans="1:13" x14ac:dyDescent="0.3">
      <c r="A31" s="57">
        <v>1445</v>
      </c>
      <c r="B31" s="56" t="s">
        <v>149</v>
      </c>
      <c r="C31" s="407"/>
      <c r="D31" s="407"/>
      <c r="E31" s="103"/>
      <c r="J31" s="407"/>
      <c r="K31" s="407"/>
      <c r="M31" s="407"/>
    </row>
    <row r="32" spans="1:13" x14ac:dyDescent="0.3">
      <c r="A32" s="57">
        <v>1446</v>
      </c>
      <c r="B32" s="56" t="s">
        <v>150</v>
      </c>
      <c r="C32" s="407"/>
      <c r="D32" s="407"/>
      <c r="E32" s="103"/>
      <c r="J32" s="407"/>
      <c r="K32" s="407"/>
      <c r="M32" s="407"/>
    </row>
    <row r="33" spans="1:13" x14ac:dyDescent="0.3">
      <c r="A33" s="30"/>
      <c r="C33" s="418"/>
      <c r="D33" s="418"/>
      <c r="E33" s="103"/>
      <c r="J33" s="418"/>
      <c r="K33" s="418"/>
      <c r="M33" s="418"/>
    </row>
    <row r="34" spans="1:13" x14ac:dyDescent="0.3">
      <c r="A34" s="58" t="s">
        <v>181</v>
      </c>
      <c r="B34" s="56"/>
      <c r="C34" s="409">
        <f>SUM(C35:C42)</f>
        <v>274312.99</v>
      </c>
      <c r="D34" s="409">
        <f>SUM(D35:D42)</f>
        <v>282150.78999999998</v>
      </c>
      <c r="E34" s="103"/>
      <c r="J34" s="409">
        <f>SUM(J35:J42)</f>
        <v>274313.11</v>
      </c>
      <c r="K34" s="409">
        <f>SUM(K35:K42)</f>
        <v>286668.19</v>
      </c>
      <c r="M34" s="409">
        <f>SUM(M35:M42)</f>
        <v>282150.78999999998</v>
      </c>
    </row>
    <row r="35" spans="1:13" x14ac:dyDescent="0.3">
      <c r="A35" s="57">
        <v>2110</v>
      </c>
      <c r="B35" s="56" t="s">
        <v>89</v>
      </c>
      <c r="C35" s="8"/>
      <c r="D35" s="8"/>
      <c r="E35" s="103"/>
      <c r="J35" s="8"/>
      <c r="K35" s="8"/>
      <c r="M35" s="8"/>
    </row>
    <row r="36" spans="1:13" x14ac:dyDescent="0.3">
      <c r="A36" s="57">
        <v>2120</v>
      </c>
      <c r="B36" s="56" t="s">
        <v>151</v>
      </c>
      <c r="C36" s="407">
        <v>261746.99</v>
      </c>
      <c r="D36" s="407">
        <v>262296</v>
      </c>
      <c r="E36" s="103"/>
      <c r="J36" s="407">
        <v>261746.99</v>
      </c>
      <c r="K36" s="407">
        <v>261746.99</v>
      </c>
      <c r="M36" s="420">
        <v>262296</v>
      </c>
    </row>
    <row r="37" spans="1:13" x14ac:dyDescent="0.3">
      <c r="A37" s="57">
        <v>2130</v>
      </c>
      <c r="B37" s="56" t="s">
        <v>90</v>
      </c>
      <c r="C37" s="8"/>
      <c r="D37" s="8"/>
      <c r="E37" s="103"/>
      <c r="J37" s="8"/>
      <c r="K37" s="8"/>
      <c r="M37" s="468"/>
    </row>
    <row r="38" spans="1:13" x14ac:dyDescent="0.3">
      <c r="A38" s="57">
        <v>2140</v>
      </c>
      <c r="B38" s="56" t="s">
        <v>366</v>
      </c>
      <c r="C38" s="8"/>
      <c r="D38" s="8"/>
      <c r="E38" s="103"/>
      <c r="J38" s="8"/>
      <c r="K38" s="8"/>
      <c r="M38" s="468"/>
    </row>
    <row r="39" spans="1:13" x14ac:dyDescent="0.3">
      <c r="A39" s="57">
        <v>2150</v>
      </c>
      <c r="B39" s="56" t="s">
        <v>369</v>
      </c>
      <c r="C39" s="8"/>
      <c r="D39" s="8"/>
      <c r="E39" s="103"/>
      <c r="J39" s="8"/>
      <c r="K39" s="8"/>
      <c r="M39" s="468"/>
    </row>
    <row r="40" spans="1:13" x14ac:dyDescent="0.3">
      <c r="A40" s="57">
        <v>2220</v>
      </c>
      <c r="B40" s="56" t="s">
        <v>91</v>
      </c>
      <c r="C40" s="407">
        <v>12566</v>
      </c>
      <c r="D40" s="407">
        <v>19854.79</v>
      </c>
      <c r="E40" s="103"/>
      <c r="J40" s="407">
        <v>12566.12</v>
      </c>
      <c r="K40" s="407">
        <v>24921.200000000001</v>
      </c>
      <c r="M40" s="420">
        <v>19854.79</v>
      </c>
    </row>
    <row r="41" spans="1:13" x14ac:dyDescent="0.3">
      <c r="A41" s="57">
        <v>2300</v>
      </c>
      <c r="B41" s="56" t="s">
        <v>152</v>
      </c>
      <c r="C41" s="8"/>
      <c r="D41" s="8"/>
      <c r="E41" s="103"/>
      <c r="J41" s="8"/>
      <c r="K41" s="8"/>
      <c r="M41" s="8"/>
    </row>
    <row r="42" spans="1:13" x14ac:dyDescent="0.3">
      <c r="A42" s="57">
        <v>2400</v>
      </c>
      <c r="B42" s="56" t="s">
        <v>153</v>
      </c>
      <c r="C42" s="8"/>
      <c r="D42" s="8"/>
      <c r="E42" s="103"/>
      <c r="J42" s="8"/>
      <c r="K42" s="8"/>
      <c r="M42" s="8"/>
    </row>
    <row r="43" spans="1:13" x14ac:dyDescent="0.3">
      <c r="A43" s="31"/>
      <c r="E43" s="103"/>
    </row>
    <row r="44" spans="1:13" x14ac:dyDescent="0.3">
      <c r="A44" s="55" t="s">
        <v>185</v>
      </c>
      <c r="B44" s="56"/>
      <c r="C44" s="409">
        <f>SUM(C45,C64)</f>
        <v>458109.64999999991</v>
      </c>
      <c r="D44" s="409">
        <f>SUM(D45,D64)</f>
        <v>373860.64999999991</v>
      </c>
      <c r="E44" s="103"/>
      <c r="J44" s="409">
        <f>SUM(J45,J64)</f>
        <v>458109.91999999993</v>
      </c>
      <c r="K44" s="409">
        <f>SUM(K45,K64)</f>
        <v>490300.91999999993</v>
      </c>
      <c r="M44" s="409">
        <f>SUM(M45,M64)</f>
        <v>373861.22</v>
      </c>
    </row>
    <row r="45" spans="1:13" x14ac:dyDescent="0.3">
      <c r="A45" s="58" t="s">
        <v>182</v>
      </c>
      <c r="B45" s="56"/>
      <c r="C45" s="409">
        <f>SUM(C46:C61)</f>
        <v>1284183.6499999999</v>
      </c>
      <c r="D45" s="409">
        <f>SUM(D46:D61)</f>
        <v>1287196.6499999999</v>
      </c>
      <c r="E45" s="103"/>
      <c r="J45" s="409">
        <f>SUM(J46:J61)</f>
        <v>1284183.92</v>
      </c>
      <c r="K45" s="409">
        <f>SUM(K46:K61)</f>
        <v>1283623.92</v>
      </c>
      <c r="M45" s="409">
        <f>SUM(M46:M61)</f>
        <v>1287196.92</v>
      </c>
    </row>
    <row r="46" spans="1:13" x14ac:dyDescent="0.3">
      <c r="A46" s="57">
        <v>3100</v>
      </c>
      <c r="B46" s="56" t="s">
        <v>154</v>
      </c>
      <c r="C46" s="407"/>
      <c r="D46" s="407"/>
      <c r="E46" s="103"/>
      <c r="J46" s="407"/>
      <c r="K46" s="407"/>
      <c r="M46" s="407"/>
    </row>
    <row r="47" spans="1:13" x14ac:dyDescent="0.3">
      <c r="A47" s="57">
        <v>3210</v>
      </c>
      <c r="B47" s="56" t="s">
        <v>155</v>
      </c>
      <c r="C47" s="407">
        <v>1284092</v>
      </c>
      <c r="D47" s="407">
        <v>1287105</v>
      </c>
      <c r="E47" s="103"/>
      <c r="G47" s="418">
        <f>D47-C47</f>
        <v>3013</v>
      </c>
      <c r="H47" s="418">
        <f>D47-C47</f>
        <v>3013</v>
      </c>
      <c r="J47" s="407">
        <f>1256971+3614.78+9545.83+13148.16+812.5</f>
        <v>1284092.27</v>
      </c>
      <c r="K47" s="407">
        <f>1256411+3614.78+9545.83+13148.16+812.5</f>
        <v>1283532.27</v>
      </c>
      <c r="M47" s="420">
        <f>1259984+3614.78+9545.83+13148.16+812.5</f>
        <v>1287105.27</v>
      </c>
    </row>
    <row r="48" spans="1:13" x14ac:dyDescent="0.3">
      <c r="A48" s="57">
        <v>3221</v>
      </c>
      <c r="B48" s="56" t="s">
        <v>156</v>
      </c>
      <c r="C48" s="407"/>
      <c r="D48" s="407"/>
      <c r="E48" s="103"/>
      <c r="J48" s="407"/>
      <c r="K48" s="407"/>
      <c r="M48" s="407"/>
    </row>
    <row r="49" spans="1:13" x14ac:dyDescent="0.3">
      <c r="A49" s="57">
        <v>3222</v>
      </c>
      <c r="B49" s="56" t="s">
        <v>157</v>
      </c>
      <c r="C49" s="407"/>
      <c r="D49" s="407"/>
      <c r="E49" s="103"/>
      <c r="J49" s="407"/>
      <c r="K49" s="407"/>
      <c r="M49" s="407"/>
    </row>
    <row r="50" spans="1:13" x14ac:dyDescent="0.3">
      <c r="A50" s="57">
        <v>3223</v>
      </c>
      <c r="B50" s="56" t="s">
        <v>158</v>
      </c>
      <c r="C50" s="407"/>
      <c r="D50" s="407"/>
      <c r="E50" s="103"/>
      <c r="J50" s="407"/>
      <c r="K50" s="407"/>
      <c r="M50" s="407"/>
    </row>
    <row r="51" spans="1:13" x14ac:dyDescent="0.3">
      <c r="A51" s="57">
        <v>3224</v>
      </c>
      <c r="B51" s="56" t="s">
        <v>159</v>
      </c>
      <c r="C51" s="407"/>
      <c r="D51" s="407"/>
      <c r="E51" s="103"/>
      <c r="J51" s="407"/>
      <c r="K51" s="407"/>
      <c r="M51" s="407"/>
    </row>
    <row r="52" spans="1:13" x14ac:dyDescent="0.3">
      <c r="A52" s="57">
        <v>3231</v>
      </c>
      <c r="B52" s="56" t="s">
        <v>160</v>
      </c>
      <c r="C52" s="407"/>
      <c r="D52" s="407"/>
      <c r="E52" s="103"/>
      <c r="J52" s="407"/>
      <c r="K52" s="407"/>
      <c r="M52" s="407"/>
    </row>
    <row r="53" spans="1:13" x14ac:dyDescent="0.3">
      <c r="A53" s="57">
        <v>3232</v>
      </c>
      <c r="B53" s="56" t="s">
        <v>161</v>
      </c>
      <c r="C53" s="407"/>
      <c r="D53" s="407"/>
      <c r="E53" s="103"/>
      <c r="J53" s="407"/>
      <c r="K53" s="407"/>
      <c r="M53" s="407"/>
    </row>
    <row r="54" spans="1:13" x14ac:dyDescent="0.3">
      <c r="A54" s="57">
        <v>3234</v>
      </c>
      <c r="B54" s="56" t="s">
        <v>162</v>
      </c>
      <c r="C54" s="407">
        <v>91.65</v>
      </c>
      <c r="D54" s="407">
        <v>91.65</v>
      </c>
      <c r="E54" s="103"/>
      <c r="J54" s="407">
        <v>91.65</v>
      </c>
      <c r="K54" s="407">
        <v>91.65</v>
      </c>
      <c r="M54" s="407">
        <v>91.65</v>
      </c>
    </row>
    <row r="55" spans="1:13" ht="30" x14ac:dyDescent="0.3">
      <c r="A55" s="57">
        <v>3236</v>
      </c>
      <c r="B55" s="56" t="s">
        <v>177</v>
      </c>
      <c r="C55" s="407"/>
      <c r="D55" s="407"/>
      <c r="E55" s="103"/>
      <c r="J55" s="407"/>
      <c r="K55" s="407"/>
      <c r="M55" s="407"/>
    </row>
    <row r="56" spans="1:13" ht="45" x14ac:dyDescent="0.3">
      <c r="A56" s="57">
        <v>3237</v>
      </c>
      <c r="B56" s="56" t="s">
        <v>163</v>
      </c>
      <c r="C56" s="8"/>
      <c r="D56" s="8"/>
      <c r="E56" s="103"/>
      <c r="J56" s="8"/>
      <c r="K56" s="8"/>
      <c r="M56" s="8"/>
    </row>
    <row r="57" spans="1:13" x14ac:dyDescent="0.3">
      <c r="A57" s="57">
        <v>3241</v>
      </c>
      <c r="B57" s="56" t="s">
        <v>164</v>
      </c>
      <c r="C57" s="8"/>
      <c r="D57" s="8"/>
      <c r="E57" s="103"/>
      <c r="J57" s="8"/>
      <c r="K57" s="8"/>
      <c r="M57" s="8"/>
    </row>
    <row r="58" spans="1:13" x14ac:dyDescent="0.3">
      <c r="A58" s="57">
        <v>3242</v>
      </c>
      <c r="B58" s="56" t="s">
        <v>165</v>
      </c>
      <c r="C58" s="8"/>
      <c r="D58" s="8"/>
      <c r="E58" s="103"/>
      <c r="J58" s="8"/>
      <c r="K58" s="8"/>
      <c r="M58" s="8"/>
    </row>
    <row r="59" spans="1:13" x14ac:dyDescent="0.3">
      <c r="A59" s="57">
        <v>3243</v>
      </c>
      <c r="B59" s="56" t="s">
        <v>166</v>
      </c>
      <c r="C59" s="8"/>
      <c r="D59" s="8"/>
      <c r="E59" s="103"/>
      <c r="J59" s="8"/>
      <c r="K59" s="8"/>
      <c r="M59" s="8"/>
    </row>
    <row r="60" spans="1:13" x14ac:dyDescent="0.3">
      <c r="A60" s="57">
        <v>3245</v>
      </c>
      <c r="B60" s="56" t="s">
        <v>167</v>
      </c>
      <c r="C60" s="8"/>
      <c r="D60" s="8"/>
      <c r="E60" s="103"/>
      <c r="J60" s="8"/>
      <c r="K60" s="8"/>
      <c r="M60" s="8"/>
    </row>
    <row r="61" spans="1:13" x14ac:dyDescent="0.3">
      <c r="A61" s="57">
        <v>3246</v>
      </c>
      <c r="B61" s="56" t="s">
        <v>168</v>
      </c>
      <c r="C61" s="8"/>
      <c r="D61" s="8"/>
      <c r="E61" s="103"/>
      <c r="J61" s="8"/>
      <c r="K61" s="8"/>
      <c r="M61" s="8"/>
    </row>
    <row r="62" spans="1:13" x14ac:dyDescent="0.3">
      <c r="A62" s="31"/>
      <c r="E62" s="103"/>
    </row>
    <row r="63" spans="1:13" x14ac:dyDescent="0.3">
      <c r="A63" s="32"/>
      <c r="E63" s="103"/>
    </row>
    <row r="64" spans="1:13" x14ac:dyDescent="0.3">
      <c r="A64" s="58" t="s">
        <v>183</v>
      </c>
      <c r="B64" s="56"/>
      <c r="C64" s="409">
        <f>SUM(C65:C67)</f>
        <v>-826074</v>
      </c>
      <c r="D64" s="409">
        <f>SUM(D65:D67)</f>
        <v>-913336</v>
      </c>
      <c r="E64" s="103"/>
      <c r="J64" s="409">
        <f>SUM(J65:J67)</f>
        <v>-826074</v>
      </c>
      <c r="K64" s="409">
        <f>SUM(K65:K67)</f>
        <v>-793323</v>
      </c>
      <c r="M64" s="409">
        <f>SUM(M65:M67)</f>
        <v>-913335.7</v>
      </c>
    </row>
    <row r="65" spans="1:13" x14ac:dyDescent="0.3">
      <c r="A65" s="57">
        <v>5100</v>
      </c>
      <c r="B65" s="56" t="s">
        <v>238</v>
      </c>
      <c r="C65" s="407"/>
      <c r="D65" s="407"/>
      <c r="E65" s="103"/>
      <c r="J65" s="407"/>
      <c r="K65" s="407"/>
      <c r="M65" s="407"/>
    </row>
    <row r="66" spans="1:13" x14ac:dyDescent="0.3">
      <c r="A66" s="57">
        <v>5220</v>
      </c>
      <c r="B66" s="56" t="s">
        <v>378</v>
      </c>
      <c r="C66" s="407"/>
      <c r="D66" s="407"/>
      <c r="E66" s="103"/>
      <c r="J66" s="407"/>
      <c r="K66" s="407"/>
      <c r="M66" s="407"/>
    </row>
    <row r="67" spans="1:13" x14ac:dyDescent="0.3">
      <c r="A67" s="57">
        <v>5230</v>
      </c>
      <c r="B67" s="56" t="s">
        <v>379</v>
      </c>
      <c r="C67" s="407">
        <v>-826074</v>
      </c>
      <c r="D67" s="407">
        <v>-913336</v>
      </c>
      <c r="E67" s="103"/>
      <c r="J67" s="407">
        <v>-826074</v>
      </c>
      <c r="K67" s="407">
        <v>-793323</v>
      </c>
      <c r="M67" s="407">
        <v>-913335.7</v>
      </c>
    </row>
    <row r="68" spans="1:13" x14ac:dyDescent="0.3">
      <c r="A68" s="31"/>
      <c r="E68" s="103"/>
    </row>
    <row r="69" spans="1:13" x14ac:dyDescent="0.3">
      <c r="A69" s="2"/>
      <c r="E69" s="103"/>
    </row>
    <row r="70" spans="1:13" x14ac:dyDescent="0.3">
      <c r="A70" s="55" t="s">
        <v>184</v>
      </c>
      <c r="B70" s="56"/>
      <c r="C70" s="8"/>
      <c r="D70" s="8"/>
      <c r="E70" s="103"/>
      <c r="J70" s="8"/>
      <c r="K70" s="8"/>
      <c r="M70" s="8"/>
    </row>
    <row r="71" spans="1:13" ht="30" x14ac:dyDescent="0.3">
      <c r="A71" s="57">
        <v>1</v>
      </c>
      <c r="B71" s="56" t="s">
        <v>169</v>
      </c>
      <c r="C71" s="8"/>
      <c r="D71" s="8"/>
      <c r="E71" s="103"/>
      <c r="J71" s="8"/>
      <c r="K71" s="8"/>
      <c r="M71" s="8"/>
    </row>
    <row r="72" spans="1:13" x14ac:dyDescent="0.3">
      <c r="A72" s="57">
        <v>2</v>
      </c>
      <c r="B72" s="56" t="s">
        <v>170</v>
      </c>
      <c r="C72" s="8"/>
      <c r="D72" s="8"/>
      <c r="E72" s="103"/>
      <c r="J72" s="8"/>
      <c r="K72" s="8"/>
      <c r="M72" s="8"/>
    </row>
    <row r="73" spans="1:13" x14ac:dyDescent="0.3">
      <c r="A73" s="57">
        <v>3</v>
      </c>
      <c r="B73" s="56" t="s">
        <v>171</v>
      </c>
      <c r="C73" s="8"/>
      <c r="D73" s="8"/>
      <c r="E73" s="103"/>
      <c r="J73" s="8"/>
      <c r="K73" s="8"/>
      <c r="M73" s="8"/>
    </row>
    <row r="74" spans="1:13" x14ac:dyDescent="0.3">
      <c r="A74" s="57">
        <v>4</v>
      </c>
      <c r="B74" s="56" t="s">
        <v>334</v>
      </c>
      <c r="C74" s="8"/>
      <c r="D74" s="8"/>
      <c r="E74" s="103"/>
      <c r="J74" s="8"/>
      <c r="K74" s="8"/>
      <c r="M74" s="8"/>
    </row>
    <row r="75" spans="1:13" x14ac:dyDescent="0.3">
      <c r="A75" s="57">
        <v>5</v>
      </c>
      <c r="B75" s="56" t="s">
        <v>172</v>
      </c>
      <c r="C75" s="8"/>
      <c r="D75" s="8"/>
      <c r="E75" s="103"/>
      <c r="J75" s="8"/>
      <c r="K75" s="8"/>
      <c r="M75" s="8"/>
    </row>
    <row r="76" spans="1:13" x14ac:dyDescent="0.3">
      <c r="A76" s="57">
        <v>6</v>
      </c>
      <c r="B76" s="56" t="s">
        <v>173</v>
      </c>
      <c r="C76" s="8"/>
      <c r="D76" s="8"/>
      <c r="E76" s="103"/>
      <c r="J76" s="8"/>
      <c r="K76" s="8"/>
      <c r="M76" s="8"/>
    </row>
    <row r="77" spans="1:13" x14ac:dyDescent="0.3">
      <c r="A77" s="57">
        <v>7</v>
      </c>
      <c r="B77" s="56" t="s">
        <v>174</v>
      </c>
      <c r="C77" s="8"/>
      <c r="D77" s="8"/>
      <c r="E77" s="103"/>
      <c r="J77" s="8"/>
      <c r="K77" s="8"/>
      <c r="M77" s="8"/>
    </row>
    <row r="78" spans="1:13" x14ac:dyDescent="0.3">
      <c r="A78" s="57">
        <v>8</v>
      </c>
      <c r="B78" s="56" t="s">
        <v>175</v>
      </c>
      <c r="C78" s="8"/>
      <c r="D78" s="8"/>
      <c r="E78" s="103"/>
      <c r="J78" s="8"/>
      <c r="K78" s="8"/>
      <c r="M78" s="8"/>
    </row>
    <row r="79" spans="1:13" x14ac:dyDescent="0.3">
      <c r="A79" s="57">
        <v>9</v>
      </c>
      <c r="B79" s="56" t="s">
        <v>176</v>
      </c>
      <c r="C79" s="8"/>
      <c r="D79" s="8"/>
      <c r="E79" s="103"/>
      <c r="J79" s="8"/>
      <c r="K79" s="8"/>
      <c r="M79" s="8"/>
    </row>
    <row r="83" spans="1:9" x14ac:dyDescent="0.3">
      <c r="A83" s="2"/>
      <c r="B83" s="2"/>
    </row>
    <row r="84" spans="1:9" x14ac:dyDescent="0.3">
      <c r="A84" s="67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7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4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30"/>
  <sheetViews>
    <sheetView showGridLines="0" view="pageBreakPreview" topLeftCell="C1" zoomScale="80" zoomScaleNormal="100" zoomScaleSheetLayoutView="80" workbookViewId="0">
      <selection activeCell="N1" sqref="N1:AH1048576"/>
    </sheetView>
  </sheetViews>
  <sheetFormatPr defaultColWidth="9.140625"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3" width="9.140625" style="2"/>
    <col min="14" max="34" width="0" style="2" hidden="1" customWidth="1"/>
    <col min="35" max="16384" width="9.140625" style="2"/>
  </cols>
  <sheetData>
    <row r="1" spans="1:32" x14ac:dyDescent="0.3">
      <c r="A1" s="72" t="s">
        <v>392</v>
      </c>
      <c r="B1" s="74"/>
      <c r="C1" s="74"/>
      <c r="D1" s="74"/>
      <c r="E1" s="74"/>
      <c r="F1" s="74"/>
      <c r="G1" s="74"/>
      <c r="H1" s="74"/>
      <c r="I1" s="481" t="s">
        <v>97</v>
      </c>
      <c r="J1" s="481"/>
      <c r="K1" s="103"/>
    </row>
    <row r="2" spans="1:32" x14ac:dyDescent="0.3">
      <c r="A2" s="74" t="s">
        <v>128</v>
      </c>
      <c r="B2" s="74"/>
      <c r="C2" s="74"/>
      <c r="D2" s="74"/>
      <c r="E2" s="74"/>
      <c r="F2" s="74"/>
      <c r="G2" s="74"/>
      <c r="H2" s="74"/>
      <c r="I2" s="471" t="s">
        <v>1112</v>
      </c>
      <c r="J2" s="472"/>
      <c r="K2" s="103"/>
    </row>
    <row r="3" spans="1:32" x14ac:dyDescent="0.3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32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3"/>
      <c r="G4" s="74"/>
      <c r="H4" s="74"/>
      <c r="I4" s="74"/>
      <c r="J4" s="74"/>
      <c r="K4" s="103"/>
    </row>
    <row r="5" spans="1:32" x14ac:dyDescent="0.3">
      <c r="A5" s="195" t="str">
        <f>'ფორმა N1'!A5</f>
        <v>მპგ ,, ქართული ოცნება დემოკრატიული საქართველო"</v>
      </c>
      <c r="B5" s="341"/>
      <c r="C5" s="341"/>
      <c r="D5" s="341"/>
      <c r="E5" s="341"/>
      <c r="F5" s="342"/>
      <c r="G5" s="341"/>
      <c r="H5" s="341"/>
      <c r="I5" s="341"/>
      <c r="J5" s="341"/>
      <c r="K5" s="103"/>
    </row>
    <row r="6" spans="1:32" x14ac:dyDescent="0.3">
      <c r="A6" s="75"/>
      <c r="B6" s="75"/>
      <c r="C6" s="74"/>
      <c r="D6" s="74"/>
      <c r="E6" s="74"/>
      <c r="F6" s="123"/>
      <c r="G6" s="74"/>
      <c r="H6" s="74"/>
      <c r="I6" s="74"/>
      <c r="J6" s="74"/>
      <c r="K6" s="103"/>
    </row>
    <row r="7" spans="1:32" x14ac:dyDescent="0.3">
      <c r="A7" s="124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32" s="27" customFormat="1" ht="45" x14ac:dyDescent="0.3">
      <c r="A8" s="126" t="s">
        <v>64</v>
      </c>
      <c r="B8" s="126" t="s">
        <v>99</v>
      </c>
      <c r="C8" s="127" t="s">
        <v>101</v>
      </c>
      <c r="D8" s="127" t="s">
        <v>258</v>
      </c>
      <c r="E8" s="127" t="s">
        <v>100</v>
      </c>
      <c r="F8" s="125" t="s">
        <v>239</v>
      </c>
      <c r="G8" s="125" t="s">
        <v>277</v>
      </c>
      <c r="H8" s="125" t="s">
        <v>278</v>
      </c>
      <c r="I8" s="125" t="s">
        <v>240</v>
      </c>
      <c r="J8" s="128" t="s">
        <v>102</v>
      </c>
      <c r="K8" s="103"/>
    </row>
    <row r="9" spans="1:32" s="27" customFormat="1" x14ac:dyDescent="0.3">
      <c r="A9" s="151">
        <v>1</v>
      </c>
      <c r="B9" s="151">
        <v>2</v>
      </c>
      <c r="C9" s="152">
        <v>3</v>
      </c>
      <c r="D9" s="152">
        <v>4</v>
      </c>
      <c r="E9" s="152">
        <v>5</v>
      </c>
      <c r="F9" s="152">
        <v>6</v>
      </c>
      <c r="G9" s="152">
        <v>7</v>
      </c>
      <c r="H9" s="152">
        <v>8</v>
      </c>
      <c r="I9" s="152">
        <v>9</v>
      </c>
      <c r="J9" s="152">
        <v>10</v>
      </c>
      <c r="K9" s="103"/>
    </row>
    <row r="10" spans="1:32" s="27" customFormat="1" ht="30" x14ac:dyDescent="0.3">
      <c r="A10" s="151">
        <v>1</v>
      </c>
      <c r="B10" s="404" t="s">
        <v>478</v>
      </c>
      <c r="C10" s="405" t="s">
        <v>479</v>
      </c>
      <c r="D10" s="405" t="s">
        <v>480</v>
      </c>
      <c r="E10" s="405" t="s">
        <v>481</v>
      </c>
      <c r="F10" s="152">
        <v>28367</v>
      </c>
      <c r="G10" s="152">
        <f>257609+184540+80000</f>
        <v>522149</v>
      </c>
      <c r="H10" s="152">
        <f>130210+145116+158005.76+110052</f>
        <v>543383.76</v>
      </c>
      <c r="I10" s="152">
        <f>F10+G10-H10</f>
        <v>7132.2399999999907</v>
      </c>
      <c r="J10" s="152"/>
      <c r="K10" s="103"/>
      <c r="N10" s="152">
        <v>28367.03</v>
      </c>
      <c r="O10" s="152">
        <v>257609</v>
      </c>
      <c r="P10" s="152">
        <v>130210</v>
      </c>
      <c r="Q10" s="152">
        <f>N10+O10-P10</f>
        <v>155766.03000000003</v>
      </c>
      <c r="S10" s="152">
        <v>155766</v>
      </c>
      <c r="T10" s="152">
        <v>0</v>
      </c>
      <c r="U10" s="152">
        <v>145115.5</v>
      </c>
      <c r="V10" s="152">
        <f>S10+T10-U10</f>
        <v>10650.5</v>
      </c>
      <c r="X10" s="152">
        <v>10651</v>
      </c>
      <c r="Y10" s="152">
        <v>184540</v>
      </c>
      <c r="Z10" s="152">
        <v>158005.76000000001</v>
      </c>
      <c r="AA10" s="152">
        <f>X10+Y10-Z10</f>
        <v>37185.239999999991</v>
      </c>
      <c r="AC10" s="152">
        <v>37185</v>
      </c>
      <c r="AD10" s="152">
        <v>80000</v>
      </c>
      <c r="AE10" s="152">
        <v>110052.47</v>
      </c>
      <c r="AF10" s="152">
        <f>AC10+AD10-AE10</f>
        <v>7132.5299999999988</v>
      </c>
    </row>
    <row r="11" spans="1:32" s="27" customFormat="1" ht="30" x14ac:dyDescent="0.3">
      <c r="A11" s="151">
        <v>2</v>
      </c>
      <c r="B11" s="404" t="s">
        <v>478</v>
      </c>
      <c r="C11" s="405" t="s">
        <v>482</v>
      </c>
      <c r="D11" s="405" t="s">
        <v>483</v>
      </c>
      <c r="E11" s="405" t="s">
        <v>481</v>
      </c>
      <c r="F11" s="152">
        <v>0</v>
      </c>
      <c r="G11" s="152">
        <v>0</v>
      </c>
      <c r="H11" s="152">
        <v>0</v>
      </c>
      <c r="I11" s="152">
        <f t="shared" ref="I11:I15" si="0">F11+G11-H11</f>
        <v>0</v>
      </c>
      <c r="J11" s="152"/>
      <c r="K11" s="103"/>
      <c r="N11" s="152">
        <v>0</v>
      </c>
      <c r="O11" s="152">
        <v>0</v>
      </c>
      <c r="P11" s="152">
        <v>0</v>
      </c>
      <c r="Q11" s="152">
        <f t="shared" ref="Q11:Q14" si="1">N11+O11-P11</f>
        <v>0</v>
      </c>
      <c r="S11" s="152">
        <v>0</v>
      </c>
      <c r="T11" s="152">
        <v>0</v>
      </c>
      <c r="U11" s="152">
        <v>0</v>
      </c>
      <c r="V11" s="152">
        <f t="shared" ref="V11:V14" si="2">S11+T11-U11</f>
        <v>0</v>
      </c>
      <c r="X11" s="152">
        <v>0</v>
      </c>
      <c r="Y11" s="152">
        <v>0</v>
      </c>
      <c r="Z11" s="152">
        <v>0</v>
      </c>
      <c r="AA11" s="152">
        <f t="shared" ref="AA11:AA14" si="3">X11+Y11-Z11</f>
        <v>0</v>
      </c>
      <c r="AC11" s="152">
        <v>0</v>
      </c>
      <c r="AD11" s="152">
        <v>0</v>
      </c>
      <c r="AE11" s="152">
        <v>0</v>
      </c>
      <c r="AF11" s="152">
        <f t="shared" ref="AF11:AF14" si="4">AC11+AD11-AE11</f>
        <v>0</v>
      </c>
    </row>
    <row r="12" spans="1:32" s="27" customFormat="1" ht="30" x14ac:dyDescent="0.3">
      <c r="A12" s="151">
        <v>3</v>
      </c>
      <c r="B12" s="404" t="s">
        <v>478</v>
      </c>
      <c r="C12" s="405" t="s">
        <v>482</v>
      </c>
      <c r="D12" s="405" t="s">
        <v>484</v>
      </c>
      <c r="E12" s="405" t="s">
        <v>481</v>
      </c>
      <c r="F12" s="152">
        <v>0</v>
      </c>
      <c r="G12" s="152">
        <v>0</v>
      </c>
      <c r="H12" s="152">
        <v>0</v>
      </c>
      <c r="I12" s="152">
        <f t="shared" si="0"/>
        <v>0</v>
      </c>
      <c r="J12" s="152"/>
      <c r="K12" s="103"/>
      <c r="N12" s="152">
        <v>0</v>
      </c>
      <c r="O12" s="152">
        <v>0</v>
      </c>
      <c r="P12" s="152">
        <v>0</v>
      </c>
      <c r="Q12" s="152">
        <f t="shared" si="1"/>
        <v>0</v>
      </c>
      <c r="S12" s="152">
        <v>0</v>
      </c>
      <c r="T12" s="152">
        <v>0</v>
      </c>
      <c r="U12" s="152">
        <v>0</v>
      </c>
      <c r="V12" s="152">
        <f t="shared" si="2"/>
        <v>0</v>
      </c>
      <c r="X12" s="152">
        <v>0</v>
      </c>
      <c r="Y12" s="152">
        <v>0</v>
      </c>
      <c r="Z12" s="152">
        <v>0</v>
      </c>
      <c r="AA12" s="152">
        <f t="shared" si="3"/>
        <v>0</v>
      </c>
      <c r="AC12" s="152">
        <v>0</v>
      </c>
      <c r="AD12" s="152">
        <v>0</v>
      </c>
      <c r="AE12" s="152">
        <v>0</v>
      </c>
      <c r="AF12" s="152">
        <f t="shared" si="4"/>
        <v>0</v>
      </c>
    </row>
    <row r="13" spans="1:32" s="27" customFormat="1" ht="30" x14ac:dyDescent="0.3">
      <c r="A13" s="151">
        <v>4</v>
      </c>
      <c r="B13" s="404" t="s">
        <v>478</v>
      </c>
      <c r="C13" s="405" t="s">
        <v>485</v>
      </c>
      <c r="D13" s="405" t="s">
        <v>480</v>
      </c>
      <c r="E13" s="405" t="s">
        <v>486</v>
      </c>
      <c r="F13" s="152">
        <v>0</v>
      </c>
      <c r="G13" s="152">
        <v>0</v>
      </c>
      <c r="H13" s="152">
        <v>0</v>
      </c>
      <c r="I13" s="152">
        <f t="shared" si="0"/>
        <v>0</v>
      </c>
      <c r="J13" s="152"/>
      <c r="K13" s="103"/>
      <c r="N13" s="152">
        <v>0</v>
      </c>
      <c r="O13" s="152">
        <v>0</v>
      </c>
      <c r="P13" s="152">
        <v>0</v>
      </c>
      <c r="Q13" s="152">
        <f t="shared" si="1"/>
        <v>0</v>
      </c>
      <c r="S13" s="152">
        <v>0</v>
      </c>
      <c r="T13" s="152">
        <v>0</v>
      </c>
      <c r="U13" s="152">
        <v>0</v>
      </c>
      <c r="V13" s="152">
        <f t="shared" si="2"/>
        <v>0</v>
      </c>
      <c r="X13" s="152">
        <v>0</v>
      </c>
      <c r="Y13" s="152">
        <v>0</v>
      </c>
      <c r="Z13" s="152">
        <v>0</v>
      </c>
      <c r="AA13" s="152">
        <f t="shared" si="3"/>
        <v>0</v>
      </c>
      <c r="AC13" s="152">
        <v>0</v>
      </c>
      <c r="AD13" s="152">
        <v>0</v>
      </c>
      <c r="AE13" s="152">
        <v>0</v>
      </c>
      <c r="AF13" s="152">
        <f t="shared" si="4"/>
        <v>0</v>
      </c>
    </row>
    <row r="14" spans="1:32" s="27" customFormat="1" ht="30" x14ac:dyDescent="0.3">
      <c r="A14" s="151">
        <v>5</v>
      </c>
      <c r="B14" s="404" t="s">
        <v>478</v>
      </c>
      <c r="C14" s="405" t="s">
        <v>487</v>
      </c>
      <c r="D14" s="405" t="s">
        <v>483</v>
      </c>
      <c r="E14" s="405" t="s">
        <v>486</v>
      </c>
      <c r="F14" s="152">
        <v>7017</v>
      </c>
      <c r="G14" s="152">
        <v>0</v>
      </c>
      <c r="H14" s="152">
        <f>873+502+1693.6+1270</f>
        <v>4338.6000000000004</v>
      </c>
      <c r="I14" s="152">
        <f t="shared" si="0"/>
        <v>2678.3999999999996</v>
      </c>
      <c r="J14" s="152"/>
      <c r="K14" s="103"/>
      <c r="N14" s="152">
        <v>7017.2</v>
      </c>
      <c r="O14" s="152">
        <v>0</v>
      </c>
      <c r="P14" s="152">
        <v>873.17</v>
      </c>
      <c r="Q14" s="152">
        <f t="shared" si="1"/>
        <v>6144.03</v>
      </c>
      <c r="S14" s="152">
        <v>6144</v>
      </c>
      <c r="T14" s="152">
        <v>0</v>
      </c>
      <c r="U14" s="152">
        <v>502</v>
      </c>
      <c r="V14" s="152">
        <f t="shared" si="2"/>
        <v>5642</v>
      </c>
      <c r="X14" s="152">
        <v>5642</v>
      </c>
      <c r="Y14" s="152">
        <v>0</v>
      </c>
      <c r="Z14" s="152">
        <v>1693.6</v>
      </c>
      <c r="AA14" s="152">
        <f t="shared" si="3"/>
        <v>3948.4</v>
      </c>
      <c r="AC14" s="152">
        <v>3948</v>
      </c>
      <c r="AD14" s="152">
        <v>0</v>
      </c>
      <c r="AE14" s="152">
        <v>1270.4100000000001</v>
      </c>
      <c r="AF14" s="152">
        <f t="shared" si="4"/>
        <v>2677.59</v>
      </c>
    </row>
    <row r="15" spans="1:32" s="27" customFormat="1" ht="30" x14ac:dyDescent="0.3">
      <c r="A15" s="151">
        <v>6</v>
      </c>
      <c r="B15" s="404" t="s">
        <v>478</v>
      </c>
      <c r="C15" s="405" t="s">
        <v>488</v>
      </c>
      <c r="D15" s="405" t="s">
        <v>484</v>
      </c>
      <c r="E15" s="405" t="s">
        <v>486</v>
      </c>
      <c r="F15" s="152">
        <v>0</v>
      </c>
      <c r="G15" s="152">
        <v>0</v>
      </c>
      <c r="H15" s="152">
        <v>0</v>
      </c>
      <c r="I15" s="152">
        <f t="shared" si="0"/>
        <v>0</v>
      </c>
      <c r="J15" s="406"/>
      <c r="K15" s="103"/>
    </row>
    <row r="16" spans="1:32" x14ac:dyDescent="0.3">
      <c r="A16" s="102"/>
      <c r="B16" s="102"/>
      <c r="C16" s="102"/>
      <c r="D16" s="102"/>
      <c r="E16" s="102"/>
      <c r="F16" s="102"/>
      <c r="G16" s="102"/>
      <c r="H16" s="102"/>
      <c r="I16" s="102"/>
      <c r="J16" s="102"/>
    </row>
    <row r="17" spans="1:10" x14ac:dyDescent="0.3">
      <c r="A17" s="102"/>
      <c r="B17" s="102"/>
      <c r="C17" s="102"/>
      <c r="D17" s="102"/>
      <c r="E17" s="102"/>
      <c r="F17" s="102"/>
      <c r="G17" s="102"/>
      <c r="H17" s="102"/>
      <c r="I17" s="102"/>
      <c r="J17" s="102"/>
    </row>
    <row r="18" spans="1:10" x14ac:dyDescent="0.3">
      <c r="A18" s="102"/>
      <c r="B18" s="102"/>
      <c r="C18" s="102"/>
      <c r="D18" s="102"/>
      <c r="E18" s="102"/>
      <c r="F18" s="102"/>
      <c r="G18" s="102"/>
      <c r="H18" s="102"/>
      <c r="I18" s="102"/>
      <c r="J18" s="102"/>
    </row>
    <row r="19" spans="1:10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</row>
    <row r="20" spans="1:10" x14ac:dyDescent="0.3">
      <c r="A20" s="102"/>
      <c r="B20" s="204" t="s">
        <v>96</v>
      </c>
      <c r="C20" s="102"/>
      <c r="D20" s="102"/>
      <c r="E20" s="102"/>
      <c r="F20" s="205"/>
      <c r="G20" s="102"/>
      <c r="H20" s="102"/>
      <c r="I20" s="102"/>
      <c r="J20" s="102"/>
    </row>
    <row r="21" spans="1:10" x14ac:dyDescent="0.3">
      <c r="A21" s="102"/>
      <c r="B21" s="102"/>
      <c r="C21" s="102"/>
      <c r="D21" s="102"/>
      <c r="E21" s="102"/>
      <c r="F21" s="99"/>
      <c r="G21" s="99"/>
      <c r="H21" s="99"/>
      <c r="I21" s="99"/>
      <c r="J21" s="99"/>
    </row>
    <row r="22" spans="1:10" x14ac:dyDescent="0.3">
      <c r="A22" s="102"/>
      <c r="B22" s="102"/>
      <c r="C22" s="241"/>
      <c r="D22" s="102"/>
      <c r="E22" s="102"/>
      <c r="F22" s="241"/>
      <c r="G22" s="242"/>
      <c r="H22" s="242"/>
      <c r="I22" s="99"/>
      <c r="J22" s="99"/>
    </row>
    <row r="23" spans="1:10" x14ac:dyDescent="0.3">
      <c r="A23" s="99"/>
      <c r="B23" s="102"/>
      <c r="C23" s="206" t="s">
        <v>251</v>
      </c>
      <c r="D23" s="206"/>
      <c r="E23" s="102"/>
      <c r="F23" s="102" t="s">
        <v>256</v>
      </c>
      <c r="G23" s="99"/>
      <c r="H23" s="99"/>
      <c r="I23" s="99"/>
      <c r="J23" s="99"/>
    </row>
    <row r="24" spans="1:10" x14ac:dyDescent="0.3">
      <c r="A24" s="99"/>
      <c r="B24" s="102"/>
      <c r="C24" s="207" t="s">
        <v>127</v>
      </c>
      <c r="D24" s="102"/>
      <c r="E24" s="102"/>
      <c r="F24" s="102" t="s">
        <v>252</v>
      </c>
      <c r="G24" s="99"/>
      <c r="H24" s="99"/>
      <c r="I24" s="99"/>
      <c r="J24" s="99"/>
    </row>
    <row r="25" spans="1:10" customFormat="1" x14ac:dyDescent="0.3">
      <c r="A25" s="99"/>
      <c r="B25" s="102"/>
      <c r="C25" s="102"/>
      <c r="D25" s="207"/>
      <c r="E25" s="99"/>
      <c r="F25" s="99"/>
      <c r="G25" s="99"/>
      <c r="H25" s="99"/>
      <c r="I25" s="99"/>
      <c r="J25" s="99"/>
    </row>
    <row r="26" spans="1:10" customFormat="1" ht="12.75" x14ac:dyDescent="0.2">
      <c r="A26" s="99"/>
      <c r="B26" s="99"/>
      <c r="C26" s="99"/>
      <c r="D26" s="99"/>
      <c r="E26" s="99"/>
      <c r="F26" s="99"/>
      <c r="G26" s="99"/>
      <c r="H26" s="99"/>
      <c r="I26" s="99"/>
      <c r="J26" s="99"/>
    </row>
    <row r="27" spans="1:10" customFormat="1" ht="12.75" x14ac:dyDescent="0.2"/>
    <row r="28" spans="1:10" customFormat="1" ht="12.75" x14ac:dyDescent="0.2"/>
    <row r="29" spans="1:10" customFormat="1" ht="12.75" x14ac:dyDescent="0.2"/>
    <row r="30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5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5"/>
    <dataValidation allowBlank="1" showInputMessage="1" showErrorMessage="1" prompt="თვე/დღე/წელი" sqref="J15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BreakPreview" zoomScale="80" zoomScaleNormal="100" zoomScaleSheetLayoutView="80" workbookViewId="0">
      <selection activeCell="D15" sqref="D15"/>
    </sheetView>
  </sheetViews>
  <sheetFormatPr defaultColWidth="9.140625" defaultRowHeight="15" x14ac:dyDescent="0.3"/>
  <cols>
    <col min="1" max="1" width="12" style="175" customWidth="1"/>
    <col min="2" max="2" width="13.28515625" style="175" customWidth="1"/>
    <col min="3" max="3" width="21.42578125" style="175" customWidth="1"/>
    <col min="4" max="4" width="17.85546875" style="175" customWidth="1"/>
    <col min="5" max="5" width="12.7109375" style="175" customWidth="1"/>
    <col min="6" max="6" width="36.85546875" style="175" customWidth="1"/>
    <col min="7" max="7" width="22.28515625" style="175" customWidth="1"/>
    <col min="8" max="8" width="0.5703125" style="175" customWidth="1"/>
    <col min="9" max="16384" width="9.140625" style="175"/>
  </cols>
  <sheetData>
    <row r="1" spans="1:8" x14ac:dyDescent="0.3">
      <c r="A1" s="72" t="s">
        <v>337</v>
      </c>
      <c r="B1" s="74"/>
      <c r="C1" s="74"/>
      <c r="D1" s="74"/>
      <c r="E1" s="74"/>
      <c r="F1" s="74"/>
      <c r="G1" s="155" t="s">
        <v>97</v>
      </c>
      <c r="H1" s="156"/>
    </row>
    <row r="2" spans="1:8" x14ac:dyDescent="0.3">
      <c r="A2" s="74" t="s">
        <v>128</v>
      </c>
      <c r="B2" s="74"/>
      <c r="C2" s="74"/>
      <c r="D2" s="74"/>
      <c r="E2" s="74"/>
      <c r="F2" s="74"/>
      <c r="G2" s="471" t="s">
        <v>1112</v>
      </c>
      <c r="H2" s="472"/>
    </row>
    <row r="3" spans="1:8" x14ac:dyDescent="0.3">
      <c r="A3" s="74"/>
      <c r="B3" s="74"/>
      <c r="C3" s="74"/>
      <c r="D3" s="74"/>
      <c r="E3" s="74"/>
      <c r="F3" s="74"/>
      <c r="G3" s="100"/>
      <c r="H3" s="156"/>
    </row>
    <row r="4" spans="1:8" x14ac:dyDescent="0.3">
      <c r="A4" s="75" t="str">
        <f>'[3]ფორმა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 x14ac:dyDescent="0.3">
      <c r="A5" s="195" t="str">
        <f>'ფორმა N1'!A5</f>
        <v>მპგ ,, ქართული ოცნება დემოკრატიული საქართველო"</v>
      </c>
      <c r="B5" s="195"/>
      <c r="C5" s="195"/>
      <c r="D5" s="195"/>
      <c r="E5" s="195"/>
      <c r="F5" s="195"/>
      <c r="G5" s="195"/>
      <c r="H5" s="102"/>
    </row>
    <row r="6" spans="1:8" x14ac:dyDescent="0.3">
      <c r="A6" s="75"/>
      <c r="B6" s="74"/>
      <c r="C6" s="74"/>
      <c r="D6" s="74"/>
      <c r="E6" s="74"/>
      <c r="F6" s="74"/>
      <c r="G6" s="74"/>
      <c r="H6" s="102"/>
    </row>
    <row r="7" spans="1:8" x14ac:dyDescent="0.3">
      <c r="A7" s="74"/>
      <c r="B7" s="74"/>
      <c r="C7" s="74"/>
      <c r="D7" s="74"/>
      <c r="E7" s="74"/>
      <c r="F7" s="74"/>
      <c r="G7" s="74"/>
      <c r="H7" s="103"/>
    </row>
    <row r="8" spans="1:8" ht="45.75" customHeight="1" x14ac:dyDescent="0.3">
      <c r="A8" s="157" t="s">
        <v>295</v>
      </c>
      <c r="B8" s="157" t="s">
        <v>129</v>
      </c>
      <c r="C8" s="158" t="s">
        <v>335</v>
      </c>
      <c r="D8" s="158" t="s">
        <v>336</v>
      </c>
      <c r="E8" s="158" t="s">
        <v>258</v>
      </c>
      <c r="F8" s="157" t="s">
        <v>300</v>
      </c>
      <c r="G8" s="158" t="s">
        <v>296</v>
      </c>
      <c r="H8" s="103"/>
    </row>
    <row r="9" spans="1:8" x14ac:dyDescent="0.3">
      <c r="A9" s="159" t="s">
        <v>297</v>
      </c>
      <c r="B9" s="160"/>
      <c r="C9" s="161"/>
      <c r="D9" s="162"/>
      <c r="E9" s="162"/>
      <c r="F9" s="162"/>
      <c r="G9" s="163"/>
      <c r="H9" s="103"/>
    </row>
    <row r="10" spans="1:8" ht="15.75" x14ac:dyDescent="0.3">
      <c r="A10" s="160">
        <v>1</v>
      </c>
      <c r="B10" s="149">
        <v>43262</v>
      </c>
      <c r="C10" s="456">
        <v>720</v>
      </c>
      <c r="D10" s="457">
        <v>0</v>
      </c>
      <c r="E10" s="457" t="s">
        <v>480</v>
      </c>
      <c r="F10" s="457" t="s">
        <v>1119</v>
      </c>
      <c r="G10" s="166">
        <f>IF(ISBLANK(B10),"",G9+C10-D10)</f>
        <v>720</v>
      </c>
      <c r="H10" s="103"/>
    </row>
    <row r="11" spans="1:8" ht="15.75" x14ac:dyDescent="0.3">
      <c r="A11" s="160">
        <v>2</v>
      </c>
      <c r="B11" s="149">
        <v>43292</v>
      </c>
      <c r="C11" s="456">
        <v>0</v>
      </c>
      <c r="D11" s="457">
        <v>720</v>
      </c>
      <c r="E11" s="457" t="s">
        <v>480</v>
      </c>
      <c r="F11" s="457" t="s">
        <v>922</v>
      </c>
      <c r="G11" s="166">
        <f t="shared" ref="G11:G19" si="0">IF(ISBLANK(B11),"",G10+C11-D11)</f>
        <v>0</v>
      </c>
      <c r="H11" s="103"/>
    </row>
    <row r="12" spans="1:8" ht="15.75" x14ac:dyDescent="0.3">
      <c r="A12" s="160">
        <v>3</v>
      </c>
      <c r="B12" s="149"/>
      <c r="C12" s="164"/>
      <c r="D12" s="165"/>
      <c r="E12" s="165"/>
      <c r="F12" s="165"/>
      <c r="G12" s="166" t="str">
        <f t="shared" si="0"/>
        <v/>
      </c>
      <c r="H12" s="103"/>
    </row>
    <row r="13" spans="1:8" ht="15.75" x14ac:dyDescent="0.3">
      <c r="A13" s="160">
        <v>4</v>
      </c>
      <c r="B13" s="149"/>
      <c r="C13" s="164"/>
      <c r="D13" s="165"/>
      <c r="E13" s="165"/>
      <c r="F13" s="165"/>
      <c r="G13" s="166" t="str">
        <f t="shared" si="0"/>
        <v/>
      </c>
      <c r="H13" s="103"/>
    </row>
    <row r="14" spans="1:8" ht="15.75" x14ac:dyDescent="0.3">
      <c r="A14" s="160">
        <v>5</v>
      </c>
      <c r="B14" s="149"/>
      <c r="C14" s="164"/>
      <c r="D14" s="165"/>
      <c r="E14" s="165"/>
      <c r="F14" s="165"/>
      <c r="G14" s="166" t="str">
        <f t="shared" si="0"/>
        <v/>
      </c>
      <c r="H14" s="103"/>
    </row>
    <row r="15" spans="1:8" ht="15.75" x14ac:dyDescent="0.3">
      <c r="A15" s="160">
        <v>6</v>
      </c>
      <c r="B15" s="149"/>
      <c r="C15" s="164"/>
      <c r="D15" s="165"/>
      <c r="E15" s="165"/>
      <c r="F15" s="165"/>
      <c r="G15" s="166" t="str">
        <f t="shared" si="0"/>
        <v/>
      </c>
      <c r="H15" s="103"/>
    </row>
    <row r="16" spans="1:8" ht="15.75" x14ac:dyDescent="0.3">
      <c r="A16" s="160">
        <v>7</v>
      </c>
      <c r="B16" s="149"/>
      <c r="C16" s="164"/>
      <c r="D16" s="165"/>
      <c r="E16" s="165"/>
      <c r="F16" s="165"/>
      <c r="G16" s="166" t="str">
        <f t="shared" si="0"/>
        <v/>
      </c>
      <c r="H16" s="103"/>
    </row>
    <row r="17" spans="1:10" ht="15.75" x14ac:dyDescent="0.3">
      <c r="A17" s="160">
        <v>8</v>
      </c>
      <c r="B17" s="149"/>
      <c r="C17" s="164"/>
      <c r="D17" s="165"/>
      <c r="E17" s="165"/>
      <c r="F17" s="165"/>
      <c r="G17" s="166" t="str">
        <f t="shared" si="0"/>
        <v/>
      </c>
      <c r="H17" s="103"/>
    </row>
    <row r="18" spans="1:10" ht="15.75" x14ac:dyDescent="0.3">
      <c r="A18" s="160">
        <v>9</v>
      </c>
      <c r="B18" s="149"/>
      <c r="C18" s="164"/>
      <c r="D18" s="165"/>
      <c r="E18" s="165"/>
      <c r="F18" s="165"/>
      <c r="G18" s="166" t="str">
        <f t="shared" si="0"/>
        <v/>
      </c>
      <c r="H18" s="103"/>
    </row>
    <row r="19" spans="1:10" ht="15.75" x14ac:dyDescent="0.3">
      <c r="A19" s="160">
        <v>10</v>
      </c>
      <c r="B19" s="149"/>
      <c r="C19" s="164"/>
      <c r="D19" s="165"/>
      <c r="E19" s="165"/>
      <c r="F19" s="165"/>
      <c r="G19" s="166" t="str">
        <f t="shared" si="0"/>
        <v/>
      </c>
      <c r="H19" s="103"/>
    </row>
    <row r="20" spans="1:10" ht="15.75" x14ac:dyDescent="0.3">
      <c r="A20" s="160" t="s">
        <v>261</v>
      </c>
      <c r="B20" s="149"/>
      <c r="C20" s="167"/>
      <c r="D20" s="168"/>
      <c r="E20" s="168"/>
      <c r="F20" s="168"/>
      <c r="G20" s="166" t="str">
        <f>IF(ISBLANK(B20),"",#REF!+C20-D20)</f>
        <v/>
      </c>
      <c r="H20" s="103"/>
    </row>
    <row r="21" spans="1:10" x14ac:dyDescent="0.3">
      <c r="A21" s="169" t="s">
        <v>298</v>
      </c>
      <c r="B21" s="170"/>
      <c r="C21" s="171"/>
      <c r="D21" s="172"/>
      <c r="E21" s="172"/>
      <c r="F21" s="173"/>
      <c r="G21" s="174" t="str">
        <f>G20</f>
        <v/>
      </c>
      <c r="H21" s="103"/>
    </row>
    <row r="25" spans="1:10" x14ac:dyDescent="0.3">
      <c r="B25" s="177" t="s">
        <v>96</v>
      </c>
      <c r="F25" s="178"/>
    </row>
    <row r="26" spans="1:10" x14ac:dyDescent="0.3">
      <c r="F26" s="176"/>
      <c r="G26" s="176"/>
      <c r="H26" s="176"/>
      <c r="I26" s="176"/>
      <c r="J26" s="176"/>
    </row>
    <row r="27" spans="1:10" x14ac:dyDescent="0.3">
      <c r="C27" s="179"/>
      <c r="F27" s="179"/>
      <c r="G27" s="180"/>
      <c r="H27" s="176"/>
      <c r="I27" s="176"/>
      <c r="J27" s="176"/>
    </row>
    <row r="28" spans="1:10" x14ac:dyDescent="0.3">
      <c r="A28" s="176"/>
      <c r="C28" s="181" t="s">
        <v>251</v>
      </c>
      <c r="F28" s="182" t="s">
        <v>256</v>
      </c>
      <c r="G28" s="180"/>
      <c r="H28" s="176"/>
      <c r="I28" s="176"/>
      <c r="J28" s="176"/>
    </row>
    <row r="29" spans="1:10" x14ac:dyDescent="0.3">
      <c r="A29" s="176"/>
      <c r="C29" s="183" t="s">
        <v>127</v>
      </c>
      <c r="F29" s="175" t="s">
        <v>252</v>
      </c>
      <c r="G29" s="176"/>
      <c r="H29" s="176"/>
      <c r="I29" s="176"/>
      <c r="J29" s="176"/>
    </row>
    <row r="30" spans="1:10" s="176" customFormat="1" x14ac:dyDescent="0.3">
      <c r="B30" s="175"/>
    </row>
    <row r="31" spans="1:10" s="176" customFormat="1" ht="12.75" x14ac:dyDescent="0.2"/>
    <row r="32" spans="1:10" s="176" customFormat="1" ht="12.75" x14ac:dyDescent="0.2"/>
    <row r="33" s="176" customFormat="1" ht="12.75" x14ac:dyDescent="0.2"/>
    <row r="34" s="176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20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E53"/>
  <sheetViews>
    <sheetView showGridLines="0" view="pageBreakPreview" topLeftCell="A19" zoomScale="80" zoomScaleNormal="100" zoomScaleSheetLayoutView="80" workbookViewId="0">
      <selection activeCell="M1" sqref="M1:AN1048576"/>
    </sheetView>
  </sheetViews>
  <sheetFormatPr defaultColWidth="9.140625" defaultRowHeight="15" x14ac:dyDescent="0.3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2" width="9.140625" style="25"/>
    <col min="13" max="40" width="0" style="25" hidden="1" customWidth="1"/>
    <col min="41" max="16384" width="9.140625" style="25"/>
  </cols>
  <sheetData>
    <row r="1" spans="1:31" s="23" customFormat="1" x14ac:dyDescent="0.2">
      <c r="A1" s="134" t="s">
        <v>287</v>
      </c>
      <c r="B1" s="135"/>
      <c r="C1" s="135"/>
      <c r="D1" s="135"/>
      <c r="E1" s="135"/>
      <c r="F1" s="76"/>
      <c r="G1" s="76"/>
      <c r="H1" s="76"/>
      <c r="I1" s="493" t="s">
        <v>97</v>
      </c>
      <c r="J1" s="493"/>
      <c r="K1" s="141"/>
    </row>
    <row r="2" spans="1:31" s="23" customFormat="1" x14ac:dyDescent="0.3">
      <c r="A2" s="103" t="s">
        <v>128</v>
      </c>
      <c r="B2" s="135"/>
      <c r="C2" s="135"/>
      <c r="D2" s="135"/>
      <c r="E2" s="135"/>
      <c r="F2" s="136"/>
      <c r="G2" s="137"/>
      <c r="H2" s="137"/>
      <c r="I2" s="471" t="s">
        <v>1112</v>
      </c>
      <c r="J2" s="472"/>
      <c r="K2" s="141"/>
    </row>
    <row r="3" spans="1:31" s="23" customFormat="1" x14ac:dyDescent="0.2">
      <c r="A3" s="135"/>
      <c r="B3" s="135"/>
      <c r="C3" s="135"/>
      <c r="D3" s="135"/>
      <c r="E3" s="135"/>
      <c r="F3" s="136"/>
      <c r="G3" s="137"/>
      <c r="H3" s="137"/>
      <c r="I3" s="138"/>
      <c r="J3" s="73"/>
      <c r="K3" s="141"/>
    </row>
    <row r="4" spans="1:31" s="2" customFormat="1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3"/>
      <c r="J4" s="74"/>
      <c r="K4" s="103"/>
      <c r="L4" s="23"/>
    </row>
    <row r="5" spans="1:31" s="2" customFormat="1" x14ac:dyDescent="0.3">
      <c r="A5" s="117" t="str">
        <f>'ფორმა N1'!A5</f>
        <v>მპგ ,, ქართული ოცნება დემოკრატიული საქართველო"</v>
      </c>
      <c r="B5" s="118"/>
      <c r="C5" s="118"/>
      <c r="D5" s="118"/>
      <c r="E5" s="118"/>
      <c r="F5" s="59"/>
      <c r="G5" s="59"/>
      <c r="H5" s="59"/>
      <c r="I5" s="129"/>
      <c r="J5" s="59"/>
      <c r="K5" s="103"/>
    </row>
    <row r="6" spans="1:31" s="23" customFormat="1" ht="13.5" x14ac:dyDescent="0.2">
      <c r="A6" s="139"/>
      <c r="B6" s="140"/>
      <c r="C6" s="140"/>
      <c r="D6" s="135"/>
      <c r="E6" s="135"/>
      <c r="F6" s="135"/>
      <c r="G6" s="135"/>
      <c r="H6" s="135"/>
      <c r="I6" s="135"/>
      <c r="J6" s="135"/>
      <c r="K6" s="141"/>
    </row>
    <row r="7" spans="1:31" ht="45" x14ac:dyDescent="0.3">
      <c r="A7" s="130"/>
      <c r="B7" s="492" t="s">
        <v>208</v>
      </c>
      <c r="C7" s="492"/>
      <c r="D7" s="492" t="s">
        <v>275</v>
      </c>
      <c r="E7" s="492"/>
      <c r="F7" s="492" t="s">
        <v>276</v>
      </c>
      <c r="G7" s="492"/>
      <c r="H7" s="148" t="s">
        <v>262</v>
      </c>
      <c r="I7" s="492" t="s">
        <v>211</v>
      </c>
      <c r="J7" s="492"/>
      <c r="K7" s="142"/>
    </row>
    <row r="8" spans="1:31" x14ac:dyDescent="0.3">
      <c r="A8" s="131" t="s">
        <v>103</v>
      </c>
      <c r="B8" s="132" t="s">
        <v>210</v>
      </c>
      <c r="C8" s="133" t="s">
        <v>209</v>
      </c>
      <c r="D8" s="132" t="s">
        <v>210</v>
      </c>
      <c r="E8" s="133" t="s">
        <v>209</v>
      </c>
      <c r="F8" s="132" t="s">
        <v>210</v>
      </c>
      <c r="G8" s="133" t="s">
        <v>209</v>
      </c>
      <c r="H8" s="133" t="s">
        <v>209</v>
      </c>
      <c r="I8" s="132" t="s">
        <v>210</v>
      </c>
      <c r="J8" s="133" t="s">
        <v>209</v>
      </c>
      <c r="K8" s="142"/>
    </row>
    <row r="9" spans="1:31" x14ac:dyDescent="0.3">
      <c r="A9" s="60" t="s">
        <v>104</v>
      </c>
      <c r="B9" s="80">
        <f>SUM(B10,B14,B17)</f>
        <v>3621</v>
      </c>
      <c r="C9" s="80">
        <f>SUM(C10,C14,C17)</f>
        <v>261746</v>
      </c>
      <c r="D9" s="80">
        <f t="shared" ref="D9:J9" si="0">SUM(D10,D14,D17)</f>
        <v>1</v>
      </c>
      <c r="E9" s="80">
        <f>SUM(E10,E14,E17)</f>
        <v>550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3622</v>
      </c>
      <c r="J9" s="80">
        <f t="shared" si="0"/>
        <v>262296</v>
      </c>
      <c r="K9" s="142"/>
      <c r="M9" s="80">
        <f>SUM(M10,M14,M17)</f>
        <v>3621</v>
      </c>
      <c r="N9" s="80">
        <f>SUM(N10,N14,N17)</f>
        <v>261746</v>
      </c>
      <c r="O9" s="80">
        <f t="shared" ref="O9:U9" si="1">SUM(O10,O14,O17)</f>
        <v>0</v>
      </c>
      <c r="P9" s="80">
        <f>SUM(P10,P14,P17)</f>
        <v>0</v>
      </c>
      <c r="Q9" s="80">
        <f t="shared" si="1"/>
        <v>0</v>
      </c>
      <c r="R9" s="80">
        <f>SUM(R10,R14,R17)</f>
        <v>0</v>
      </c>
      <c r="S9" s="80">
        <f>SUM(S10,S14,S17)</f>
        <v>0</v>
      </c>
      <c r="T9" s="80">
        <f>SUM(T10,T14,T17)</f>
        <v>3621</v>
      </c>
      <c r="U9" s="80">
        <f t="shared" si="1"/>
        <v>261746</v>
      </c>
      <c r="W9" s="80">
        <f>SUM(W10,W14,W17)</f>
        <v>3621</v>
      </c>
      <c r="X9" s="80">
        <f>SUM(X10,X14,X17)</f>
        <v>261746</v>
      </c>
      <c r="Y9" s="80">
        <f t="shared" ref="Y9:AE9" si="2">SUM(Y10,Y14,Y17)</f>
        <v>0</v>
      </c>
      <c r="Z9" s="80">
        <f>SUM(Z10,Z14,Z17)</f>
        <v>0</v>
      </c>
      <c r="AA9" s="80">
        <f t="shared" si="2"/>
        <v>0</v>
      </c>
      <c r="AB9" s="80">
        <f>SUM(AB10,AB14,AB17)</f>
        <v>0</v>
      </c>
      <c r="AC9" s="80">
        <f>SUM(AC10,AC14,AC17)</f>
        <v>0</v>
      </c>
      <c r="AD9" s="80">
        <f>SUM(AD10,AD14,AD17)</f>
        <v>3621</v>
      </c>
      <c r="AE9" s="80">
        <f t="shared" si="2"/>
        <v>261746</v>
      </c>
    </row>
    <row r="10" spans="1:31" x14ac:dyDescent="0.3">
      <c r="A10" s="61" t="s">
        <v>105</v>
      </c>
      <c r="B10" s="130">
        <f>SUM(B11:B13)</f>
        <v>0</v>
      </c>
      <c r="C10" s="130">
        <f>SUM(C11:C13)</f>
        <v>0</v>
      </c>
      <c r="D10" s="130">
        <f t="shared" ref="D10:J10" si="3">SUM(D11:D13)</f>
        <v>0</v>
      </c>
      <c r="E10" s="130">
        <f>SUM(E11:E13)</f>
        <v>0</v>
      </c>
      <c r="F10" s="130">
        <f t="shared" si="3"/>
        <v>0</v>
      </c>
      <c r="G10" s="130">
        <f>SUM(G11:G13)</f>
        <v>0</v>
      </c>
      <c r="H10" s="130">
        <f>SUM(H11:H13)</f>
        <v>0</v>
      </c>
      <c r="I10" s="130">
        <f>SUM(I11:I13)</f>
        <v>0</v>
      </c>
      <c r="J10" s="130">
        <f t="shared" si="3"/>
        <v>0</v>
      </c>
      <c r="K10" s="142"/>
      <c r="M10" s="130">
        <f>SUM(M11:M13)</f>
        <v>0</v>
      </c>
      <c r="N10" s="130">
        <f>SUM(N11:N13)</f>
        <v>0</v>
      </c>
      <c r="O10" s="130">
        <f t="shared" ref="O10:U10" si="4">SUM(O11:O13)</f>
        <v>0</v>
      </c>
      <c r="P10" s="130">
        <f>SUM(P11:P13)</f>
        <v>0</v>
      </c>
      <c r="Q10" s="130">
        <f t="shared" si="4"/>
        <v>0</v>
      </c>
      <c r="R10" s="130">
        <f>SUM(R11:R13)</f>
        <v>0</v>
      </c>
      <c r="S10" s="130">
        <f>SUM(S11:S13)</f>
        <v>0</v>
      </c>
      <c r="T10" s="130">
        <f>SUM(T11:T13)</f>
        <v>0</v>
      </c>
      <c r="U10" s="130">
        <f t="shared" si="4"/>
        <v>0</v>
      </c>
      <c r="W10" s="130">
        <f>SUM(W11:W13)</f>
        <v>0</v>
      </c>
      <c r="X10" s="130">
        <f>SUM(X11:X13)</f>
        <v>0</v>
      </c>
      <c r="Y10" s="130">
        <f t="shared" ref="Y10:AE10" si="5">SUM(Y11:Y13)</f>
        <v>0</v>
      </c>
      <c r="Z10" s="130">
        <f>SUM(Z11:Z13)</f>
        <v>0</v>
      </c>
      <c r="AA10" s="130">
        <f t="shared" si="5"/>
        <v>0</v>
      </c>
      <c r="AB10" s="130">
        <f>SUM(AB11:AB13)</f>
        <v>0</v>
      </c>
      <c r="AC10" s="130">
        <f>SUM(AC11:AC13)</f>
        <v>0</v>
      </c>
      <c r="AD10" s="130">
        <f>SUM(AD11:AD13)</f>
        <v>0</v>
      </c>
      <c r="AE10" s="130">
        <f t="shared" si="5"/>
        <v>0</v>
      </c>
    </row>
    <row r="11" spans="1:31" x14ac:dyDescent="0.3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2"/>
      <c r="M11" s="26"/>
      <c r="N11" s="26"/>
      <c r="O11" s="26"/>
      <c r="P11" s="26"/>
      <c r="Q11" s="26"/>
      <c r="R11" s="26"/>
      <c r="S11" s="26"/>
      <c r="T11" s="26"/>
      <c r="U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1" x14ac:dyDescent="0.3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2"/>
      <c r="M12" s="26"/>
      <c r="N12" s="26"/>
      <c r="O12" s="26"/>
      <c r="P12" s="26"/>
      <c r="Q12" s="26"/>
      <c r="R12" s="26"/>
      <c r="S12" s="26"/>
      <c r="T12" s="26"/>
      <c r="U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1" x14ac:dyDescent="0.3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2"/>
      <c r="M13" s="26"/>
      <c r="N13" s="26"/>
      <c r="O13" s="26"/>
      <c r="P13" s="26"/>
      <c r="Q13" s="26"/>
      <c r="R13" s="26"/>
      <c r="S13" s="26"/>
      <c r="T13" s="26"/>
      <c r="U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1" x14ac:dyDescent="0.3">
      <c r="A14" s="61" t="s">
        <v>109</v>
      </c>
      <c r="B14" s="130">
        <f>SUM(B15:B16)</f>
        <v>3621</v>
      </c>
      <c r="C14" s="130">
        <f>SUM(C15:C16)</f>
        <v>261746</v>
      </c>
      <c r="D14" s="130">
        <f t="shared" ref="D14:J14" si="6">SUM(D15:D16)</f>
        <v>1</v>
      </c>
      <c r="E14" s="130">
        <f>SUM(E15:E16)</f>
        <v>550</v>
      </c>
      <c r="F14" s="130">
        <f t="shared" si="6"/>
        <v>0</v>
      </c>
      <c r="G14" s="130">
        <f>SUM(G15:G16)</f>
        <v>0</v>
      </c>
      <c r="H14" s="130">
        <f>SUM(H15:H16)</f>
        <v>0</v>
      </c>
      <c r="I14" s="130">
        <f>SUM(I15:I16)</f>
        <v>3622</v>
      </c>
      <c r="J14" s="130">
        <f t="shared" si="6"/>
        <v>262296</v>
      </c>
      <c r="K14" s="142"/>
      <c r="M14" s="130">
        <f>SUM(M15:M16)</f>
        <v>3621</v>
      </c>
      <c r="N14" s="130">
        <f>SUM(N15:N16)</f>
        <v>261746</v>
      </c>
      <c r="O14" s="130">
        <f t="shared" ref="O14:U14" si="7">SUM(O15:O16)</f>
        <v>0</v>
      </c>
      <c r="P14" s="130">
        <f>SUM(P15:P16)</f>
        <v>0</v>
      </c>
      <c r="Q14" s="130">
        <f t="shared" si="7"/>
        <v>0</v>
      </c>
      <c r="R14" s="130">
        <f>SUM(R15:R16)</f>
        <v>0</v>
      </c>
      <c r="S14" s="130">
        <f>SUM(S15:S16)</f>
        <v>0</v>
      </c>
      <c r="T14" s="130">
        <f>SUM(T15:T16)</f>
        <v>3621</v>
      </c>
      <c r="U14" s="130">
        <f t="shared" si="7"/>
        <v>261746</v>
      </c>
      <c r="W14" s="130">
        <f>SUM(W15:W16)</f>
        <v>3621</v>
      </c>
      <c r="X14" s="130">
        <f>SUM(X15:X16)</f>
        <v>261746</v>
      </c>
      <c r="Y14" s="130">
        <f t="shared" ref="Y14:AE14" si="8">SUM(Y15:Y16)</f>
        <v>0</v>
      </c>
      <c r="Z14" s="130">
        <f>SUM(Z15:Z16)</f>
        <v>0</v>
      </c>
      <c r="AA14" s="130">
        <f t="shared" si="8"/>
        <v>0</v>
      </c>
      <c r="AB14" s="130">
        <f>SUM(AB15:AB16)</f>
        <v>0</v>
      </c>
      <c r="AC14" s="130">
        <f>SUM(AC15:AC16)</f>
        <v>0</v>
      </c>
      <c r="AD14" s="130">
        <f>SUM(AD15:AD16)</f>
        <v>3621</v>
      </c>
      <c r="AE14" s="130">
        <f t="shared" si="8"/>
        <v>261746</v>
      </c>
    </row>
    <row r="15" spans="1:31" x14ac:dyDescent="0.3">
      <c r="A15" s="61" t="s">
        <v>110</v>
      </c>
      <c r="B15" s="26">
        <v>11</v>
      </c>
      <c r="C15" s="26">
        <v>165848</v>
      </c>
      <c r="D15" s="26"/>
      <c r="E15" s="26"/>
      <c r="F15" s="26"/>
      <c r="G15" s="26"/>
      <c r="H15" s="26"/>
      <c r="I15" s="26">
        <f>B15+D15-F15-H15</f>
        <v>11</v>
      </c>
      <c r="J15" s="26">
        <f>C15+E15-G15-H15</f>
        <v>165848</v>
      </c>
      <c r="K15" s="142"/>
      <c r="M15" s="26">
        <v>11</v>
      </c>
      <c r="N15" s="26">
        <v>165848</v>
      </c>
      <c r="O15" s="26"/>
      <c r="P15" s="26"/>
      <c r="Q15" s="26"/>
      <c r="R15" s="26"/>
      <c r="S15" s="26"/>
      <c r="T15" s="26">
        <f>M15+O15-Q15-S15</f>
        <v>11</v>
      </c>
      <c r="U15" s="26">
        <f>N15+P15-R15-S15</f>
        <v>165848</v>
      </c>
      <c r="W15" s="26">
        <v>11</v>
      </c>
      <c r="X15" s="26">
        <v>165848</v>
      </c>
      <c r="Y15" s="26"/>
      <c r="Z15" s="26"/>
      <c r="AA15" s="26"/>
      <c r="AB15" s="26"/>
      <c r="AC15" s="26"/>
      <c r="AD15" s="26">
        <f>W15+Y15-AA15-AC15</f>
        <v>11</v>
      </c>
      <c r="AE15" s="26">
        <f>X15+Z15-AB15-AC15</f>
        <v>165848</v>
      </c>
    </row>
    <row r="16" spans="1:31" x14ac:dyDescent="0.3">
      <c r="A16" s="61" t="s">
        <v>111</v>
      </c>
      <c r="B16" s="26">
        <v>3610</v>
      </c>
      <c r="C16" s="26">
        <v>95898</v>
      </c>
      <c r="D16" s="26">
        <v>1</v>
      </c>
      <c r="E16" s="26">
        <v>550</v>
      </c>
      <c r="F16" s="26"/>
      <c r="G16" s="26"/>
      <c r="H16" s="26"/>
      <c r="I16" s="26">
        <f>B16+D16-F16-H16</f>
        <v>3611</v>
      </c>
      <c r="J16" s="26">
        <f>C16+E16-G16-H16</f>
        <v>96448</v>
      </c>
      <c r="K16" s="142"/>
      <c r="M16" s="26">
        <v>3610</v>
      </c>
      <c r="N16" s="26">
        <v>95898</v>
      </c>
      <c r="O16" s="26"/>
      <c r="P16" s="26"/>
      <c r="Q16" s="26"/>
      <c r="R16" s="26"/>
      <c r="S16" s="26"/>
      <c r="T16" s="26">
        <f>M16+O16-Q16-S16</f>
        <v>3610</v>
      </c>
      <c r="U16" s="26">
        <f>N16+P16-R16-S16</f>
        <v>95898</v>
      </c>
      <c r="W16" s="26">
        <v>3610</v>
      </c>
      <c r="X16" s="26">
        <v>95898</v>
      </c>
      <c r="Y16" s="26"/>
      <c r="Z16" s="26"/>
      <c r="AA16" s="26"/>
      <c r="AB16" s="26"/>
      <c r="AC16" s="26"/>
      <c r="AD16" s="26">
        <f>W16+Y16-AA16-AC16</f>
        <v>3610</v>
      </c>
      <c r="AE16" s="26">
        <f>X16+Z16-AB16-AC16</f>
        <v>95898</v>
      </c>
    </row>
    <row r="17" spans="1:31" x14ac:dyDescent="0.3">
      <c r="A17" s="61" t="s">
        <v>112</v>
      </c>
      <c r="B17" s="130">
        <f>SUM(B18:B19,B22,B23)</f>
        <v>0</v>
      </c>
      <c r="C17" s="130">
        <f>SUM(C18:C19,C22,C23)</f>
        <v>0</v>
      </c>
      <c r="D17" s="130">
        <f t="shared" ref="D17:J17" si="9">SUM(D18:D19,D22,D23)</f>
        <v>0</v>
      </c>
      <c r="E17" s="130">
        <f>SUM(E18:E19,E22,E23)</f>
        <v>0</v>
      </c>
      <c r="F17" s="130">
        <f t="shared" si="9"/>
        <v>0</v>
      </c>
      <c r="G17" s="130">
        <f>SUM(G18:G19,G22,G23)</f>
        <v>0</v>
      </c>
      <c r="H17" s="130">
        <f>SUM(H18:H19,H22,H23)</f>
        <v>0</v>
      </c>
      <c r="I17" s="130">
        <f>SUM(I18:I19,I22,I23)</f>
        <v>0</v>
      </c>
      <c r="J17" s="130">
        <f t="shared" si="9"/>
        <v>0</v>
      </c>
      <c r="K17" s="142"/>
      <c r="M17" s="130">
        <f>SUM(M18:M19,M22,M23)</f>
        <v>0</v>
      </c>
      <c r="N17" s="130">
        <f>SUM(N18:N19,N22,N23)</f>
        <v>0</v>
      </c>
      <c r="O17" s="130">
        <f t="shared" ref="O17:U17" si="10">SUM(O18:O19,O22,O23)</f>
        <v>0</v>
      </c>
      <c r="P17" s="130">
        <f>SUM(P18:P19,P22,P23)</f>
        <v>0</v>
      </c>
      <c r="Q17" s="130">
        <f t="shared" si="10"/>
        <v>0</v>
      </c>
      <c r="R17" s="130">
        <f>SUM(R18:R19,R22,R23)</f>
        <v>0</v>
      </c>
      <c r="S17" s="130">
        <f>SUM(S18:S19,S22,S23)</f>
        <v>0</v>
      </c>
      <c r="T17" s="130">
        <f>SUM(T18:T19,T22,T23)</f>
        <v>0</v>
      </c>
      <c r="U17" s="130">
        <f t="shared" si="10"/>
        <v>0</v>
      </c>
      <c r="W17" s="130">
        <f>SUM(W18:W19,W22,W23)</f>
        <v>0</v>
      </c>
      <c r="X17" s="130">
        <f>SUM(X18:X19,X22,X23)</f>
        <v>0</v>
      </c>
      <c r="Y17" s="130">
        <f t="shared" ref="Y17:AE17" si="11">SUM(Y18:Y19,Y22,Y23)</f>
        <v>0</v>
      </c>
      <c r="Z17" s="130">
        <f>SUM(Z18:Z19,Z22,Z23)</f>
        <v>0</v>
      </c>
      <c r="AA17" s="130">
        <f t="shared" si="11"/>
        <v>0</v>
      </c>
      <c r="AB17" s="130">
        <f>SUM(AB18:AB19,AB22,AB23)</f>
        <v>0</v>
      </c>
      <c r="AC17" s="130">
        <f>SUM(AC18:AC19,AC22,AC23)</f>
        <v>0</v>
      </c>
      <c r="AD17" s="130">
        <f>SUM(AD18:AD19,AD22,AD23)</f>
        <v>0</v>
      </c>
      <c r="AE17" s="130">
        <f t="shared" si="11"/>
        <v>0</v>
      </c>
    </row>
    <row r="18" spans="1:31" x14ac:dyDescent="0.3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2"/>
      <c r="M18" s="26"/>
      <c r="N18" s="26"/>
      <c r="O18" s="26"/>
      <c r="P18" s="26"/>
      <c r="Q18" s="26"/>
      <c r="R18" s="26"/>
      <c r="S18" s="26"/>
      <c r="T18" s="26"/>
      <c r="U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x14ac:dyDescent="0.3">
      <c r="A19" s="61" t="s">
        <v>114</v>
      </c>
      <c r="B19" s="130">
        <f>SUM(B20:B21)</f>
        <v>0</v>
      </c>
      <c r="C19" s="130">
        <f>SUM(C20:C21)</f>
        <v>0</v>
      </c>
      <c r="D19" s="130">
        <f t="shared" ref="D19:J19" si="12">SUM(D20:D21)</f>
        <v>0</v>
      </c>
      <c r="E19" s="130">
        <f>SUM(E20:E21)</f>
        <v>0</v>
      </c>
      <c r="F19" s="130">
        <f t="shared" si="12"/>
        <v>0</v>
      </c>
      <c r="G19" s="130">
        <f>SUM(G20:G21)</f>
        <v>0</v>
      </c>
      <c r="H19" s="130">
        <f>SUM(H20:H21)</f>
        <v>0</v>
      </c>
      <c r="I19" s="130">
        <f>SUM(I20:I21)</f>
        <v>0</v>
      </c>
      <c r="J19" s="130">
        <f t="shared" si="12"/>
        <v>0</v>
      </c>
      <c r="K19" s="142"/>
      <c r="M19" s="130">
        <f>SUM(M20:M21)</f>
        <v>0</v>
      </c>
      <c r="N19" s="130">
        <f>SUM(N20:N21)</f>
        <v>0</v>
      </c>
      <c r="O19" s="130">
        <f t="shared" ref="O19:U19" si="13">SUM(O20:O21)</f>
        <v>0</v>
      </c>
      <c r="P19" s="130">
        <f>SUM(P20:P21)</f>
        <v>0</v>
      </c>
      <c r="Q19" s="130">
        <f t="shared" si="13"/>
        <v>0</v>
      </c>
      <c r="R19" s="130">
        <f>SUM(R20:R21)</f>
        <v>0</v>
      </c>
      <c r="S19" s="130">
        <f>SUM(S20:S21)</f>
        <v>0</v>
      </c>
      <c r="T19" s="130">
        <f>SUM(T20:T21)</f>
        <v>0</v>
      </c>
      <c r="U19" s="130">
        <f t="shared" si="13"/>
        <v>0</v>
      </c>
      <c r="W19" s="130">
        <f>SUM(W20:W21)</f>
        <v>0</v>
      </c>
      <c r="X19" s="130">
        <f>SUM(X20:X21)</f>
        <v>0</v>
      </c>
      <c r="Y19" s="130">
        <f t="shared" ref="Y19:AE19" si="14">SUM(Y20:Y21)</f>
        <v>0</v>
      </c>
      <c r="Z19" s="130">
        <f>SUM(Z20:Z21)</f>
        <v>0</v>
      </c>
      <c r="AA19" s="130">
        <f t="shared" si="14"/>
        <v>0</v>
      </c>
      <c r="AB19" s="130">
        <f>SUM(AB20:AB21)</f>
        <v>0</v>
      </c>
      <c r="AC19" s="130">
        <f>SUM(AC20:AC21)</f>
        <v>0</v>
      </c>
      <c r="AD19" s="130">
        <f>SUM(AD20:AD21)</f>
        <v>0</v>
      </c>
      <c r="AE19" s="130">
        <f t="shared" si="14"/>
        <v>0</v>
      </c>
    </row>
    <row r="20" spans="1:31" x14ac:dyDescent="0.3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2"/>
      <c r="M20" s="26"/>
      <c r="N20" s="26"/>
      <c r="O20" s="26"/>
      <c r="P20" s="26"/>
      <c r="Q20" s="26"/>
      <c r="R20" s="26"/>
      <c r="S20" s="26"/>
      <c r="T20" s="26"/>
      <c r="U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x14ac:dyDescent="0.3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2"/>
      <c r="M21" s="26"/>
      <c r="N21" s="26"/>
      <c r="O21" s="26"/>
      <c r="P21" s="26"/>
      <c r="Q21" s="26"/>
      <c r="R21" s="26"/>
      <c r="S21" s="26"/>
      <c r="T21" s="26"/>
      <c r="U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x14ac:dyDescent="0.3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2"/>
      <c r="M22" s="26"/>
      <c r="N22" s="26"/>
      <c r="O22" s="26"/>
      <c r="P22" s="26"/>
      <c r="Q22" s="26"/>
      <c r="R22" s="26"/>
      <c r="S22" s="26"/>
      <c r="T22" s="26"/>
      <c r="U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x14ac:dyDescent="0.3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2"/>
      <c r="M23" s="26"/>
      <c r="N23" s="26"/>
      <c r="O23" s="26"/>
      <c r="P23" s="26"/>
      <c r="Q23" s="26"/>
      <c r="R23" s="26"/>
      <c r="S23" s="26"/>
      <c r="T23" s="26"/>
      <c r="U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x14ac:dyDescent="0.3">
      <c r="A24" s="60" t="s">
        <v>119</v>
      </c>
      <c r="B24" s="80">
        <f>SUM(B25:B31)</f>
        <v>6070</v>
      </c>
      <c r="C24" s="80">
        <f t="shared" ref="C24:J24" si="15">SUM(C25:C31)</f>
        <v>12566</v>
      </c>
      <c r="D24" s="80">
        <f t="shared" si="15"/>
        <v>8003</v>
      </c>
      <c r="E24" s="80">
        <f t="shared" si="15"/>
        <v>19385</v>
      </c>
      <c r="F24" s="80">
        <f t="shared" si="15"/>
        <v>5440</v>
      </c>
      <c r="G24" s="80">
        <f t="shared" si="15"/>
        <v>12096.02</v>
      </c>
      <c r="H24" s="80">
        <f t="shared" si="15"/>
        <v>0</v>
      </c>
      <c r="I24" s="80">
        <f t="shared" si="15"/>
        <v>8633</v>
      </c>
      <c r="J24" s="80">
        <f t="shared" si="15"/>
        <v>19854.98</v>
      </c>
      <c r="K24" s="142"/>
      <c r="M24" s="80">
        <f>SUM(M25:M31)</f>
        <v>6070</v>
      </c>
      <c r="N24" s="80">
        <f t="shared" ref="N24:U24" si="16">SUM(N25:N31)</f>
        <v>12566</v>
      </c>
      <c r="O24" s="80">
        <f t="shared" si="16"/>
        <v>8000</v>
      </c>
      <c r="P24" s="80">
        <f t="shared" si="16"/>
        <v>18800</v>
      </c>
      <c r="Q24" s="80">
        <f t="shared" si="16"/>
        <v>2900</v>
      </c>
      <c r="R24" s="80">
        <f t="shared" si="16"/>
        <v>6444.92</v>
      </c>
      <c r="S24" s="80">
        <f t="shared" si="16"/>
        <v>0</v>
      </c>
      <c r="T24" s="80">
        <f t="shared" si="16"/>
        <v>11170</v>
      </c>
      <c r="U24" s="80">
        <f t="shared" si="16"/>
        <v>24921.08</v>
      </c>
      <c r="W24" s="80">
        <f>SUM(W25:W31)</f>
        <v>11170</v>
      </c>
      <c r="X24" s="80">
        <f t="shared" ref="X24:AE24" si="17">SUM(X25:X31)</f>
        <v>24921</v>
      </c>
      <c r="Y24" s="80">
        <f t="shared" si="17"/>
        <v>3</v>
      </c>
      <c r="Z24" s="80">
        <f t="shared" si="17"/>
        <v>585</v>
      </c>
      <c r="AA24" s="80">
        <f t="shared" si="17"/>
        <v>1230</v>
      </c>
      <c r="AB24" s="80">
        <f t="shared" si="17"/>
        <v>2743.39</v>
      </c>
      <c r="AC24" s="80">
        <f t="shared" si="17"/>
        <v>0</v>
      </c>
      <c r="AD24" s="80">
        <f t="shared" si="17"/>
        <v>9943</v>
      </c>
      <c r="AE24" s="80">
        <f t="shared" si="17"/>
        <v>22762.61</v>
      </c>
    </row>
    <row r="25" spans="1:31" x14ac:dyDescent="0.3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2"/>
      <c r="M25" s="26"/>
      <c r="N25" s="26"/>
      <c r="O25" s="26"/>
      <c r="P25" s="26"/>
      <c r="Q25" s="26"/>
      <c r="R25" s="26"/>
      <c r="S25" s="26"/>
      <c r="T25" s="26"/>
      <c r="U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x14ac:dyDescent="0.3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2"/>
      <c r="M26" s="26"/>
      <c r="N26" s="26"/>
      <c r="O26" s="26"/>
      <c r="P26" s="26"/>
      <c r="Q26" s="26"/>
      <c r="R26" s="26"/>
      <c r="S26" s="26"/>
      <c r="T26" s="26"/>
      <c r="U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x14ac:dyDescent="0.3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2"/>
      <c r="M27" s="26"/>
      <c r="N27" s="26"/>
      <c r="O27" s="26"/>
      <c r="P27" s="26"/>
      <c r="Q27" s="26"/>
      <c r="R27" s="26"/>
      <c r="S27" s="26"/>
      <c r="T27" s="26"/>
      <c r="U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x14ac:dyDescent="0.3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2"/>
      <c r="M28" s="26"/>
      <c r="N28" s="26"/>
      <c r="O28" s="26"/>
      <c r="P28" s="26"/>
      <c r="Q28" s="26"/>
      <c r="R28" s="26"/>
      <c r="S28" s="26"/>
      <c r="T28" s="26"/>
      <c r="U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x14ac:dyDescent="0.3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2"/>
      <c r="M29" s="26"/>
      <c r="N29" s="26"/>
      <c r="O29" s="26"/>
      <c r="P29" s="26"/>
      <c r="Q29" s="26"/>
      <c r="R29" s="26"/>
      <c r="S29" s="26"/>
      <c r="T29" s="26"/>
      <c r="U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x14ac:dyDescent="0.3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2"/>
      <c r="M30" s="26"/>
      <c r="N30" s="26"/>
      <c r="O30" s="26"/>
      <c r="P30" s="26"/>
      <c r="Q30" s="26"/>
      <c r="R30" s="26"/>
      <c r="S30" s="26"/>
      <c r="T30" s="26"/>
      <c r="U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x14ac:dyDescent="0.3">
      <c r="A31" s="61" t="s">
        <v>247</v>
      </c>
      <c r="B31" s="26">
        <v>6070</v>
      </c>
      <c r="C31" s="26">
        <v>12566</v>
      </c>
      <c r="D31" s="26">
        <f>3+8000</f>
        <v>8003</v>
      </c>
      <c r="E31" s="26">
        <f>585+18800</f>
        <v>19385</v>
      </c>
      <c r="F31" s="26">
        <f>2900+1230+250+1060</f>
        <v>5440</v>
      </c>
      <c r="G31" s="417">
        <f>6445+2743+574.36+2333.66</f>
        <v>12096.02</v>
      </c>
      <c r="H31" s="26"/>
      <c r="I31" s="26">
        <f>B31+D31-F31-H31</f>
        <v>8633</v>
      </c>
      <c r="J31" s="417">
        <f>C31+E31-G31-H31</f>
        <v>19854.98</v>
      </c>
      <c r="K31" s="142"/>
      <c r="M31" s="26">
        <v>6070</v>
      </c>
      <c r="N31" s="26">
        <v>12566</v>
      </c>
      <c r="O31" s="26">
        <v>8000</v>
      </c>
      <c r="P31" s="26">
        <v>18800</v>
      </c>
      <c r="Q31" s="26">
        <f>2270+630</f>
        <v>2900</v>
      </c>
      <c r="R31" s="417">
        <f>4997.55+1447.37</f>
        <v>6444.92</v>
      </c>
      <c r="S31" s="26"/>
      <c r="T31" s="26">
        <f>M31+O31-Q31-S31</f>
        <v>11170</v>
      </c>
      <c r="U31" s="417">
        <f>N31+P31-R31-S31</f>
        <v>24921.08</v>
      </c>
      <c r="W31" s="26">
        <v>11170</v>
      </c>
      <c r="X31" s="26">
        <v>24921</v>
      </c>
      <c r="Y31" s="26">
        <v>3</v>
      </c>
      <c r="Z31" s="26">
        <v>585</v>
      </c>
      <c r="AA31" s="26">
        <f>860+370</f>
        <v>1230</v>
      </c>
      <c r="AB31" s="417">
        <f>1893.34+850.05</f>
        <v>2743.39</v>
      </c>
      <c r="AC31" s="26"/>
      <c r="AD31" s="26">
        <f>W31+Y31-AA31-AC31</f>
        <v>9943</v>
      </c>
      <c r="AE31" s="417">
        <f>X31+Z31-AB31-AC31</f>
        <v>22762.61</v>
      </c>
    </row>
    <row r="32" spans="1:31" x14ac:dyDescent="0.3">
      <c r="A32" s="60" t="s">
        <v>120</v>
      </c>
      <c r="B32" s="80">
        <f>SUM(B33:B35)</f>
        <v>0</v>
      </c>
      <c r="C32" s="80">
        <f>SUM(C33:C35)</f>
        <v>0</v>
      </c>
      <c r="D32" s="80">
        <f t="shared" ref="D32:J32" si="18">SUM(D33:D35)</f>
        <v>0</v>
      </c>
      <c r="E32" s="80">
        <f>SUM(E33:E35)</f>
        <v>0</v>
      </c>
      <c r="F32" s="80">
        <f t="shared" si="18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18"/>
        <v>0</v>
      </c>
      <c r="K32" s="142"/>
      <c r="M32" s="80">
        <f>SUM(M33:M35)</f>
        <v>0</v>
      </c>
      <c r="N32" s="80">
        <f>SUM(N33:N35)</f>
        <v>0</v>
      </c>
      <c r="O32" s="80">
        <f t="shared" ref="O32:U32" si="19">SUM(O33:O35)</f>
        <v>0</v>
      </c>
      <c r="P32" s="80">
        <f>SUM(P33:P35)</f>
        <v>0</v>
      </c>
      <c r="Q32" s="80">
        <f t="shared" si="19"/>
        <v>0</v>
      </c>
      <c r="R32" s="80">
        <f>SUM(R33:R35)</f>
        <v>0</v>
      </c>
      <c r="S32" s="80">
        <f>SUM(S33:S35)</f>
        <v>0</v>
      </c>
      <c r="T32" s="80">
        <f>SUM(T33:T35)</f>
        <v>0</v>
      </c>
      <c r="U32" s="80">
        <f t="shared" si="19"/>
        <v>0</v>
      </c>
      <c r="W32" s="80">
        <f>SUM(W33:W35)</f>
        <v>0</v>
      </c>
      <c r="X32" s="80">
        <f>SUM(X33:X35)</f>
        <v>0</v>
      </c>
      <c r="Y32" s="80">
        <f t="shared" ref="Y32:AE32" si="20">SUM(Y33:Y35)</f>
        <v>0</v>
      </c>
      <c r="Z32" s="80">
        <f>SUM(Z33:Z35)</f>
        <v>0</v>
      </c>
      <c r="AA32" s="80">
        <f t="shared" si="20"/>
        <v>0</v>
      </c>
      <c r="AB32" s="80">
        <f>SUM(AB33:AB35)</f>
        <v>0</v>
      </c>
      <c r="AC32" s="80">
        <f>SUM(AC33:AC35)</f>
        <v>0</v>
      </c>
      <c r="AD32" s="80">
        <f>SUM(AD33:AD35)</f>
        <v>0</v>
      </c>
      <c r="AE32" s="80">
        <f t="shared" si="20"/>
        <v>0</v>
      </c>
    </row>
    <row r="33" spans="1:31" x14ac:dyDescent="0.3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2"/>
      <c r="M33" s="26"/>
      <c r="N33" s="26"/>
      <c r="O33" s="26"/>
      <c r="P33" s="26"/>
      <c r="Q33" s="26"/>
      <c r="R33" s="26"/>
      <c r="S33" s="26"/>
      <c r="T33" s="26"/>
      <c r="U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x14ac:dyDescent="0.3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2"/>
      <c r="M34" s="26"/>
      <c r="N34" s="26"/>
      <c r="O34" s="26"/>
      <c r="P34" s="26"/>
      <c r="Q34" s="26"/>
      <c r="R34" s="26"/>
      <c r="S34" s="26"/>
      <c r="T34" s="26"/>
      <c r="U34" s="26"/>
    </row>
    <row r="35" spans="1:31" x14ac:dyDescent="0.3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2"/>
      <c r="M35" s="26"/>
      <c r="N35" s="26"/>
      <c r="O35" s="26"/>
      <c r="P35" s="26"/>
      <c r="Q35" s="26"/>
      <c r="R35" s="26"/>
      <c r="S35" s="26"/>
      <c r="T35" s="26"/>
      <c r="U35" s="26"/>
    </row>
    <row r="36" spans="1:31" x14ac:dyDescent="0.3">
      <c r="A36" s="60" t="s">
        <v>121</v>
      </c>
      <c r="B36" s="80">
        <f t="shared" ref="B36:J36" si="21">SUM(B37:B39,B42)</f>
        <v>0</v>
      </c>
      <c r="C36" s="80">
        <f t="shared" si="21"/>
        <v>0</v>
      </c>
      <c r="D36" s="80">
        <f t="shared" si="21"/>
        <v>0</v>
      </c>
      <c r="E36" s="80">
        <f t="shared" si="21"/>
        <v>0</v>
      </c>
      <c r="F36" s="80">
        <f t="shared" si="21"/>
        <v>0</v>
      </c>
      <c r="G36" s="80">
        <f t="shared" si="21"/>
        <v>0</v>
      </c>
      <c r="H36" s="80">
        <f t="shared" si="21"/>
        <v>0</v>
      </c>
      <c r="I36" s="80">
        <f t="shared" si="21"/>
        <v>0</v>
      </c>
      <c r="J36" s="80">
        <f t="shared" si="21"/>
        <v>0</v>
      </c>
      <c r="K36" s="142"/>
    </row>
    <row r="37" spans="1:31" x14ac:dyDescent="0.3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2"/>
    </row>
    <row r="38" spans="1:31" x14ac:dyDescent="0.3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2"/>
    </row>
    <row r="39" spans="1:31" x14ac:dyDescent="0.3">
      <c r="A39" s="61" t="s">
        <v>124</v>
      </c>
      <c r="B39" s="130">
        <f t="shared" ref="B39:J39" si="22">SUM(B40:B41)</f>
        <v>0</v>
      </c>
      <c r="C39" s="130">
        <f t="shared" si="22"/>
        <v>0</v>
      </c>
      <c r="D39" s="130">
        <f t="shared" si="22"/>
        <v>0</v>
      </c>
      <c r="E39" s="130">
        <f t="shared" si="22"/>
        <v>0</v>
      </c>
      <c r="F39" s="130">
        <f t="shared" si="22"/>
        <v>0</v>
      </c>
      <c r="G39" s="130">
        <f t="shared" si="22"/>
        <v>0</v>
      </c>
      <c r="H39" s="130">
        <f t="shared" si="22"/>
        <v>0</v>
      </c>
      <c r="I39" s="130">
        <f t="shared" si="22"/>
        <v>0</v>
      </c>
      <c r="J39" s="130">
        <f t="shared" si="22"/>
        <v>0</v>
      </c>
      <c r="K39" s="142"/>
    </row>
    <row r="40" spans="1:31" ht="30" x14ac:dyDescent="0.3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2"/>
    </row>
    <row r="41" spans="1:31" x14ac:dyDescent="0.3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2"/>
    </row>
    <row r="42" spans="1:31" x14ac:dyDescent="0.3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2"/>
    </row>
    <row r="43" spans="1:31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31" s="23" customFormat="1" ht="12.75" x14ac:dyDescent="0.2"/>
    <row r="45" spans="1:31" s="23" customFormat="1" x14ac:dyDescent="0.3">
      <c r="A45" s="25"/>
    </row>
    <row r="46" spans="1:31" s="2" customFormat="1" x14ac:dyDescent="0.3">
      <c r="A46" s="69" t="s">
        <v>96</v>
      </c>
      <c r="D46" s="5"/>
    </row>
    <row r="47" spans="1:31" s="2" customFormat="1" x14ac:dyDescent="0.3">
      <c r="D47"/>
      <c r="E47"/>
      <c r="F47"/>
      <c r="G47"/>
      <c r="I47"/>
    </row>
    <row r="48" spans="1:31" s="2" customFormat="1" x14ac:dyDescent="0.3">
      <c r="B48" s="68"/>
      <c r="C48" s="68"/>
      <c r="F48" s="68"/>
      <c r="G48" s="71"/>
      <c r="H48" s="68"/>
      <c r="I48"/>
      <c r="J48"/>
    </row>
    <row r="49" spans="1:10" s="2" customFormat="1" x14ac:dyDescent="0.3">
      <c r="B49" s="67" t="s">
        <v>251</v>
      </c>
      <c r="F49" s="12" t="s">
        <v>256</v>
      </c>
      <c r="G49" s="70"/>
      <c r="I49"/>
      <c r="J49"/>
    </row>
    <row r="50" spans="1:10" s="2" customFormat="1" x14ac:dyDescent="0.3">
      <c r="B50" s="64" t="s">
        <v>127</v>
      </c>
      <c r="F50" s="2" t="s">
        <v>252</v>
      </c>
      <c r="G50"/>
      <c r="I50"/>
      <c r="J50"/>
    </row>
    <row r="51" spans="1:10" customFormat="1" x14ac:dyDescent="0.3">
      <c r="A51" s="2"/>
      <c r="B51" s="25"/>
      <c r="H51" s="25"/>
    </row>
    <row r="52" spans="1:10" s="2" customFormat="1" x14ac:dyDescent="0.3">
      <c r="A52" s="11"/>
      <c r="B52" s="11"/>
      <c r="C52" s="11"/>
    </row>
    <row r="53" spans="1:10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1"/>
  <sheetViews>
    <sheetView tabSelected="1" view="pageBreakPreview" zoomScale="80" zoomScaleNormal="80" zoomScaleSheetLayoutView="80" workbookViewId="0">
      <selection activeCell="D9" sqref="D9"/>
    </sheetView>
  </sheetViews>
  <sheetFormatPr defaultColWidth="9.140625" defaultRowHeight="12.75" x14ac:dyDescent="0.2"/>
  <cols>
    <col min="1" max="1" width="6" style="190" customWidth="1"/>
    <col min="2" max="2" width="21.140625" style="190" customWidth="1"/>
    <col min="3" max="3" width="25.140625" style="190" bestFit="1" customWidth="1"/>
    <col min="4" max="4" width="18.42578125" style="190" customWidth="1"/>
    <col min="5" max="5" width="19.5703125" style="190" customWidth="1"/>
    <col min="6" max="6" width="22" style="190" customWidth="1"/>
    <col min="7" max="7" width="25.28515625" style="190" customWidth="1"/>
    <col min="8" max="8" width="18.28515625" style="190" customWidth="1"/>
    <col min="9" max="9" width="17.140625" style="190" customWidth="1"/>
    <col min="10" max="10" width="9.140625" style="190"/>
    <col min="11" max="30" width="0" style="190" hidden="1" customWidth="1"/>
    <col min="31" max="16384" width="9.140625" style="190"/>
  </cols>
  <sheetData>
    <row r="1" spans="1:29" ht="15" x14ac:dyDescent="0.2">
      <c r="A1" s="184" t="s">
        <v>476</v>
      </c>
      <c r="B1" s="184"/>
      <c r="C1" s="185"/>
      <c r="D1" s="185"/>
      <c r="E1" s="185"/>
      <c r="F1" s="185"/>
      <c r="G1" s="185"/>
      <c r="H1" s="185"/>
      <c r="I1" s="348" t="s">
        <v>97</v>
      </c>
    </row>
    <row r="2" spans="1:29" ht="15" x14ac:dyDescent="0.3">
      <c r="A2" s="145" t="s">
        <v>128</v>
      </c>
      <c r="B2" s="145"/>
      <c r="C2" s="185"/>
      <c r="D2" s="185"/>
      <c r="E2" s="185"/>
      <c r="F2" s="185"/>
      <c r="G2" s="185"/>
      <c r="H2" s="185"/>
      <c r="I2" s="513" t="s">
        <v>1112</v>
      </c>
      <c r="J2" s="514"/>
    </row>
    <row r="3" spans="1:29" ht="15" x14ac:dyDescent="0.2">
      <c r="A3" s="185"/>
      <c r="B3" s="185"/>
      <c r="C3" s="185"/>
      <c r="D3" s="185"/>
      <c r="E3" s="185"/>
      <c r="F3" s="185"/>
      <c r="G3" s="185"/>
      <c r="H3" s="185"/>
      <c r="I3" s="138"/>
    </row>
    <row r="4" spans="1:29" ht="15" x14ac:dyDescent="0.3">
      <c r="A4" s="112" t="s">
        <v>257</v>
      </c>
      <c r="B4" s="112"/>
      <c r="C4" s="112"/>
      <c r="D4" s="112"/>
      <c r="E4" s="353"/>
      <c r="F4" s="186"/>
      <c r="G4" s="185"/>
      <c r="H4" s="185"/>
      <c r="I4" s="186"/>
    </row>
    <row r="5" spans="1:29" s="358" customFormat="1" ht="15" x14ac:dyDescent="0.3">
      <c r="A5" s="354" t="str">
        <f>'ფორმა N1'!A5</f>
        <v>მპგ ,, ქართული ოცნება დემოკრატიული საქართველო"</v>
      </c>
      <c r="B5" s="354"/>
      <c r="C5" s="355"/>
      <c r="D5" s="355"/>
      <c r="E5" s="355"/>
      <c r="F5" s="356"/>
      <c r="G5" s="357"/>
      <c r="H5" s="357"/>
      <c r="I5" s="356"/>
    </row>
    <row r="6" spans="1:29" ht="13.5" x14ac:dyDescent="0.2">
      <c r="A6" s="139"/>
      <c r="B6" s="139"/>
      <c r="C6" s="359"/>
      <c r="D6" s="359"/>
      <c r="E6" s="359"/>
      <c r="F6" s="185"/>
      <c r="G6" s="185"/>
      <c r="H6" s="185"/>
      <c r="I6" s="185"/>
    </row>
    <row r="7" spans="1:29" ht="60" x14ac:dyDescent="0.2">
      <c r="A7" s="360" t="s">
        <v>64</v>
      </c>
      <c r="B7" s="360" t="s">
        <v>443</v>
      </c>
      <c r="C7" s="361" t="s">
        <v>444</v>
      </c>
      <c r="D7" s="361" t="s">
        <v>445</v>
      </c>
      <c r="E7" s="361" t="s">
        <v>446</v>
      </c>
      <c r="F7" s="361" t="s">
        <v>346</v>
      </c>
      <c r="G7" s="361" t="s">
        <v>447</v>
      </c>
      <c r="H7" s="361" t="s">
        <v>448</v>
      </c>
      <c r="I7" s="361" t="s">
        <v>449</v>
      </c>
    </row>
    <row r="8" spans="1:29" ht="15" x14ac:dyDescent="0.2">
      <c r="A8" s="360">
        <v>1</v>
      </c>
      <c r="B8" s="360">
        <v>2</v>
      </c>
      <c r="C8" s="360">
        <v>3</v>
      </c>
      <c r="D8" s="361">
        <v>4</v>
      </c>
      <c r="E8" s="360">
        <v>5</v>
      </c>
      <c r="F8" s="361">
        <v>6</v>
      </c>
      <c r="G8" s="360">
        <v>7</v>
      </c>
      <c r="H8" s="361">
        <v>8</v>
      </c>
      <c r="I8" s="361">
        <v>9</v>
      </c>
    </row>
    <row r="9" spans="1:29" ht="105" x14ac:dyDescent="0.2">
      <c r="A9" s="436">
        <v>1</v>
      </c>
      <c r="B9" s="436" t="s">
        <v>512</v>
      </c>
      <c r="C9" s="466" t="s">
        <v>693</v>
      </c>
      <c r="D9" s="466" t="s">
        <v>694</v>
      </c>
      <c r="E9" s="466" t="s">
        <v>695</v>
      </c>
      <c r="F9" s="467">
        <v>190</v>
      </c>
      <c r="G9" s="363">
        <v>7024.4</v>
      </c>
      <c r="H9" s="466" t="s">
        <v>696</v>
      </c>
      <c r="I9" s="466" t="s">
        <v>697</v>
      </c>
      <c r="L9" s="436" t="s">
        <v>512</v>
      </c>
      <c r="M9" s="466" t="s">
        <v>693</v>
      </c>
      <c r="N9" s="466" t="s">
        <v>694</v>
      </c>
      <c r="O9" s="466" t="s">
        <v>695</v>
      </c>
      <c r="P9" s="467">
        <v>190</v>
      </c>
      <c r="Q9" s="363">
        <v>7024.4</v>
      </c>
      <c r="R9" s="466" t="s">
        <v>696</v>
      </c>
      <c r="S9" s="466" t="s">
        <v>697</v>
      </c>
      <c r="V9" s="437" t="s">
        <v>512</v>
      </c>
      <c r="W9" s="438" t="s">
        <v>693</v>
      </c>
      <c r="X9" s="438" t="s">
        <v>694</v>
      </c>
      <c r="Y9" s="438" t="s">
        <v>695</v>
      </c>
      <c r="Z9" s="439">
        <v>380</v>
      </c>
      <c r="AA9" s="440">
        <v>14965.35</v>
      </c>
      <c r="AB9" s="438" t="s">
        <v>696</v>
      </c>
      <c r="AC9" s="438" t="s">
        <v>697</v>
      </c>
    </row>
    <row r="10" spans="1:29" ht="105" x14ac:dyDescent="0.2">
      <c r="A10" s="436">
        <v>2</v>
      </c>
      <c r="B10" s="436" t="s">
        <v>512</v>
      </c>
      <c r="C10" s="466" t="s">
        <v>693</v>
      </c>
      <c r="D10" s="466" t="s">
        <v>694</v>
      </c>
      <c r="E10" s="466" t="s">
        <v>695</v>
      </c>
      <c r="F10" s="467">
        <v>380</v>
      </c>
      <c r="G10" s="363">
        <v>14048.8</v>
      </c>
      <c r="H10" s="466" t="s">
        <v>696</v>
      </c>
      <c r="I10" s="466" t="s">
        <v>697</v>
      </c>
      <c r="L10" s="436" t="s">
        <v>512</v>
      </c>
      <c r="M10" s="466" t="s">
        <v>693</v>
      </c>
      <c r="N10" s="466" t="s">
        <v>694</v>
      </c>
      <c r="O10" s="466" t="s">
        <v>695</v>
      </c>
      <c r="P10" s="467">
        <v>380</v>
      </c>
      <c r="Q10" s="363">
        <v>14048.8</v>
      </c>
      <c r="R10" s="466" t="s">
        <v>696</v>
      </c>
      <c r="S10" s="466" t="s">
        <v>697</v>
      </c>
      <c r="V10" s="437" t="s">
        <v>512</v>
      </c>
      <c r="W10" s="438" t="s">
        <v>693</v>
      </c>
      <c r="X10" s="438" t="s">
        <v>698</v>
      </c>
      <c r="Y10" s="438" t="s">
        <v>695</v>
      </c>
      <c r="Z10" s="439">
        <v>100</v>
      </c>
      <c r="AA10" s="440">
        <v>3938.2500000000005</v>
      </c>
      <c r="AB10" s="438" t="s">
        <v>699</v>
      </c>
      <c r="AC10" s="438" t="s">
        <v>700</v>
      </c>
    </row>
    <row r="11" spans="1:29" ht="105" x14ac:dyDescent="0.2">
      <c r="A11" s="436">
        <v>3</v>
      </c>
      <c r="B11" s="436" t="s">
        <v>512</v>
      </c>
      <c r="C11" s="466" t="s">
        <v>693</v>
      </c>
      <c r="D11" s="466" t="s">
        <v>698</v>
      </c>
      <c r="E11" s="466" t="s">
        <v>695</v>
      </c>
      <c r="F11" s="467">
        <v>50</v>
      </c>
      <c r="G11" s="363">
        <v>1848.53</v>
      </c>
      <c r="H11" s="466" t="s">
        <v>699</v>
      </c>
      <c r="I11" s="466" t="s">
        <v>700</v>
      </c>
      <c r="L11" s="436" t="s">
        <v>512</v>
      </c>
      <c r="M11" s="466" t="s">
        <v>693</v>
      </c>
      <c r="N11" s="466" t="s">
        <v>698</v>
      </c>
      <c r="O11" s="466" t="s">
        <v>695</v>
      </c>
      <c r="P11" s="467">
        <v>50</v>
      </c>
      <c r="Q11" s="363">
        <v>1848.53</v>
      </c>
      <c r="R11" s="466" t="s">
        <v>699</v>
      </c>
      <c r="S11" s="466" t="s">
        <v>700</v>
      </c>
      <c r="V11" s="497" t="s">
        <v>512</v>
      </c>
      <c r="W11" s="497" t="s">
        <v>701</v>
      </c>
      <c r="X11" s="497" t="s">
        <v>702</v>
      </c>
      <c r="Y11" s="497" t="s">
        <v>703</v>
      </c>
      <c r="Z11" s="497">
        <v>130</v>
      </c>
      <c r="AA11" s="440">
        <v>4436.46</v>
      </c>
      <c r="AB11" s="438" t="s">
        <v>704</v>
      </c>
      <c r="AC11" s="438" t="s">
        <v>705</v>
      </c>
    </row>
    <row r="12" spans="1:29" ht="105" x14ac:dyDescent="0.2">
      <c r="A12" s="436">
        <v>4</v>
      </c>
      <c r="B12" s="436" t="s">
        <v>512</v>
      </c>
      <c r="C12" s="466" t="s">
        <v>693</v>
      </c>
      <c r="D12" s="466" t="s">
        <v>698</v>
      </c>
      <c r="E12" s="466" t="s">
        <v>695</v>
      </c>
      <c r="F12" s="467">
        <v>100</v>
      </c>
      <c r="G12" s="363">
        <v>3697.06</v>
      </c>
      <c r="H12" s="466" t="s">
        <v>699</v>
      </c>
      <c r="I12" s="466" t="s">
        <v>700</v>
      </c>
      <c r="L12" s="436" t="s">
        <v>512</v>
      </c>
      <c r="M12" s="466" t="s">
        <v>693</v>
      </c>
      <c r="N12" s="466" t="s">
        <v>698</v>
      </c>
      <c r="O12" s="466" t="s">
        <v>695</v>
      </c>
      <c r="P12" s="467">
        <v>100</v>
      </c>
      <c r="Q12" s="363">
        <v>3697.06</v>
      </c>
      <c r="R12" s="466" t="s">
        <v>699</v>
      </c>
      <c r="S12" s="466" t="s">
        <v>700</v>
      </c>
      <c r="V12" s="499"/>
      <c r="W12" s="499"/>
      <c r="X12" s="499"/>
      <c r="Y12" s="499"/>
      <c r="Z12" s="499"/>
      <c r="AA12" s="440">
        <v>985.88</v>
      </c>
      <c r="AB12" s="438" t="s">
        <v>706</v>
      </c>
      <c r="AC12" s="438" t="s">
        <v>707</v>
      </c>
    </row>
    <row r="13" spans="1:29" ht="90" x14ac:dyDescent="0.2">
      <c r="A13" s="494">
        <v>5</v>
      </c>
      <c r="B13" s="494" t="s">
        <v>512</v>
      </c>
      <c r="C13" s="504" t="s">
        <v>701</v>
      </c>
      <c r="D13" s="504" t="s">
        <v>702</v>
      </c>
      <c r="E13" s="504" t="s">
        <v>703</v>
      </c>
      <c r="F13" s="500">
        <v>130</v>
      </c>
      <c r="G13" s="363">
        <v>4436.46</v>
      </c>
      <c r="H13" s="466" t="s">
        <v>704</v>
      </c>
      <c r="I13" s="466" t="s">
        <v>705</v>
      </c>
      <c r="L13" s="494" t="s">
        <v>512</v>
      </c>
      <c r="M13" s="504" t="s">
        <v>701</v>
      </c>
      <c r="N13" s="504" t="s">
        <v>702</v>
      </c>
      <c r="O13" s="504" t="s">
        <v>703</v>
      </c>
      <c r="P13" s="500">
        <v>130</v>
      </c>
      <c r="Q13" s="363">
        <v>4436.46</v>
      </c>
      <c r="R13" s="466" t="s">
        <v>704</v>
      </c>
      <c r="S13" s="466" t="s">
        <v>705</v>
      </c>
      <c r="V13" s="437" t="s">
        <v>512</v>
      </c>
      <c r="W13" s="438" t="s">
        <v>712</v>
      </c>
      <c r="X13" s="438" t="s">
        <v>713</v>
      </c>
      <c r="Y13" s="438" t="s">
        <v>703</v>
      </c>
      <c r="Z13" s="439">
        <v>304.43</v>
      </c>
      <c r="AA13" s="440">
        <v>5126.58</v>
      </c>
      <c r="AB13" s="438" t="s">
        <v>714</v>
      </c>
      <c r="AC13" s="438" t="s">
        <v>715</v>
      </c>
    </row>
    <row r="14" spans="1:29" ht="90" x14ac:dyDescent="0.2">
      <c r="A14" s="496"/>
      <c r="B14" s="496"/>
      <c r="C14" s="505"/>
      <c r="D14" s="505"/>
      <c r="E14" s="505"/>
      <c r="F14" s="501"/>
      <c r="G14" s="363">
        <v>985.88</v>
      </c>
      <c r="H14" s="466" t="s">
        <v>706</v>
      </c>
      <c r="I14" s="466" t="s">
        <v>707</v>
      </c>
      <c r="L14" s="496"/>
      <c r="M14" s="505"/>
      <c r="N14" s="505"/>
      <c r="O14" s="505"/>
      <c r="P14" s="501"/>
      <c r="Q14" s="363">
        <v>985.88</v>
      </c>
      <c r="R14" s="466" t="s">
        <v>706</v>
      </c>
      <c r="S14" s="466" t="s">
        <v>707</v>
      </c>
      <c r="V14" s="437" t="s">
        <v>512</v>
      </c>
      <c r="W14" s="438" t="s">
        <v>753</v>
      </c>
      <c r="X14" s="438" t="s">
        <v>754</v>
      </c>
      <c r="Y14" s="438" t="s">
        <v>755</v>
      </c>
      <c r="Z14" s="439">
        <v>123.24</v>
      </c>
      <c r="AA14" s="440">
        <v>900</v>
      </c>
      <c r="AB14" s="438" t="s">
        <v>756</v>
      </c>
      <c r="AC14" s="438" t="s">
        <v>757</v>
      </c>
    </row>
    <row r="15" spans="1:29" ht="90" x14ac:dyDescent="0.2">
      <c r="A15" s="436">
        <v>6</v>
      </c>
      <c r="B15" s="436" t="s">
        <v>512</v>
      </c>
      <c r="C15" s="466" t="s">
        <v>708</v>
      </c>
      <c r="D15" s="466" t="s">
        <v>709</v>
      </c>
      <c r="E15" s="466" t="s">
        <v>703</v>
      </c>
      <c r="F15" s="467">
        <v>112.8</v>
      </c>
      <c r="G15" s="363">
        <v>2464.7000000000003</v>
      </c>
      <c r="H15" s="466" t="s">
        <v>710</v>
      </c>
      <c r="I15" s="466" t="s">
        <v>711</v>
      </c>
      <c r="L15" s="436" t="s">
        <v>512</v>
      </c>
      <c r="M15" s="466" t="s">
        <v>708</v>
      </c>
      <c r="N15" s="466" t="s">
        <v>709</v>
      </c>
      <c r="O15" s="466" t="s">
        <v>703</v>
      </c>
      <c r="P15" s="467">
        <v>112.8</v>
      </c>
      <c r="Q15" s="363">
        <v>2464.7000000000003</v>
      </c>
      <c r="R15" s="466" t="s">
        <v>710</v>
      </c>
      <c r="S15" s="466" t="s">
        <v>711</v>
      </c>
      <c r="V15" s="437" t="s">
        <v>512</v>
      </c>
      <c r="W15" s="438" t="s">
        <v>788</v>
      </c>
      <c r="X15" s="438" t="s">
        <v>789</v>
      </c>
      <c r="Y15" s="438" t="s">
        <v>703</v>
      </c>
      <c r="Z15" s="439">
        <v>54</v>
      </c>
      <c r="AA15" s="440">
        <v>313</v>
      </c>
      <c r="AB15" s="438">
        <v>49001006224</v>
      </c>
      <c r="AC15" s="438" t="s">
        <v>790</v>
      </c>
    </row>
    <row r="16" spans="1:29" ht="90" x14ac:dyDescent="0.2">
      <c r="A16" s="436">
        <v>7</v>
      </c>
      <c r="B16" s="436" t="s">
        <v>512</v>
      </c>
      <c r="C16" s="466" t="s">
        <v>712</v>
      </c>
      <c r="D16" s="466" t="s">
        <v>713</v>
      </c>
      <c r="E16" s="466" t="s">
        <v>703</v>
      </c>
      <c r="F16" s="467">
        <v>304.43</v>
      </c>
      <c r="G16" s="363">
        <v>5126.58</v>
      </c>
      <c r="H16" s="466" t="s">
        <v>714</v>
      </c>
      <c r="I16" s="466" t="s">
        <v>715</v>
      </c>
      <c r="L16" s="436" t="s">
        <v>512</v>
      </c>
      <c r="M16" s="466" t="s">
        <v>712</v>
      </c>
      <c r="N16" s="466" t="s">
        <v>713</v>
      </c>
      <c r="O16" s="466" t="s">
        <v>703</v>
      </c>
      <c r="P16" s="467">
        <v>304.43</v>
      </c>
      <c r="Q16" s="363">
        <v>5126.58</v>
      </c>
      <c r="R16" s="466" t="s">
        <v>714</v>
      </c>
      <c r="S16" s="466" t="s">
        <v>715</v>
      </c>
      <c r="V16" s="437" t="s">
        <v>512</v>
      </c>
      <c r="W16" s="438" t="s">
        <v>807</v>
      </c>
      <c r="X16" s="438" t="s">
        <v>808</v>
      </c>
      <c r="Y16" s="438" t="s">
        <v>809</v>
      </c>
      <c r="Z16" s="439">
        <v>93.9</v>
      </c>
      <c r="AA16" s="440">
        <v>625</v>
      </c>
      <c r="AB16" s="438" t="s">
        <v>810</v>
      </c>
      <c r="AC16" s="438" t="s">
        <v>811</v>
      </c>
    </row>
    <row r="17" spans="1:29" ht="165" x14ac:dyDescent="0.2">
      <c r="A17" s="436">
        <v>8</v>
      </c>
      <c r="B17" s="436" t="s">
        <v>512</v>
      </c>
      <c r="C17" s="466" t="s">
        <v>716</v>
      </c>
      <c r="D17" s="466" t="s">
        <v>717</v>
      </c>
      <c r="E17" s="466" t="s">
        <v>718</v>
      </c>
      <c r="F17" s="467">
        <v>183.25</v>
      </c>
      <c r="G17" s="363">
        <v>2464.7000000000003</v>
      </c>
      <c r="H17" s="466">
        <v>404558590</v>
      </c>
      <c r="I17" s="466" t="s">
        <v>719</v>
      </c>
      <c r="L17" s="436" t="s">
        <v>512</v>
      </c>
      <c r="M17" s="466" t="s">
        <v>716</v>
      </c>
      <c r="N17" s="466" t="s">
        <v>717</v>
      </c>
      <c r="O17" s="466" t="s">
        <v>718</v>
      </c>
      <c r="P17" s="467">
        <v>183.25</v>
      </c>
      <c r="Q17" s="363">
        <v>2464.7000000000003</v>
      </c>
      <c r="R17" s="466">
        <v>404558590</v>
      </c>
      <c r="S17" s="466" t="s">
        <v>719</v>
      </c>
      <c r="V17" s="437" t="s">
        <v>512</v>
      </c>
      <c r="W17" s="438" t="s">
        <v>708</v>
      </c>
      <c r="X17" s="438" t="s">
        <v>709</v>
      </c>
      <c r="Y17" s="438" t="s">
        <v>718</v>
      </c>
      <c r="Z17" s="439">
        <v>28.2</v>
      </c>
      <c r="AA17" s="440">
        <v>656.375</v>
      </c>
      <c r="AB17" s="438" t="s">
        <v>710</v>
      </c>
      <c r="AC17" s="438" t="s">
        <v>711</v>
      </c>
    </row>
    <row r="18" spans="1:29" ht="165" x14ac:dyDescent="0.2">
      <c r="A18" s="436">
        <v>9</v>
      </c>
      <c r="B18" s="436" t="s">
        <v>512</v>
      </c>
      <c r="C18" s="466" t="s">
        <v>720</v>
      </c>
      <c r="D18" s="466" t="s">
        <v>721</v>
      </c>
      <c r="E18" s="466" t="s">
        <v>703</v>
      </c>
      <c r="F18" s="467">
        <v>179</v>
      </c>
      <c r="G18" s="363">
        <v>3000</v>
      </c>
      <c r="H18" s="466" t="s">
        <v>722</v>
      </c>
      <c r="I18" s="466" t="s">
        <v>723</v>
      </c>
      <c r="L18" s="436" t="s">
        <v>512</v>
      </c>
      <c r="M18" s="466" t="s">
        <v>720</v>
      </c>
      <c r="N18" s="466" t="s">
        <v>721</v>
      </c>
      <c r="O18" s="466" t="s">
        <v>703</v>
      </c>
      <c r="P18" s="467">
        <v>179</v>
      </c>
      <c r="Q18" s="363">
        <v>3000</v>
      </c>
      <c r="R18" s="466" t="s">
        <v>722</v>
      </c>
      <c r="S18" s="466" t="s">
        <v>723</v>
      </c>
      <c r="V18" s="437" t="s">
        <v>512</v>
      </c>
      <c r="W18" s="438" t="s">
        <v>716</v>
      </c>
      <c r="X18" s="438" t="s">
        <v>717</v>
      </c>
      <c r="Y18" s="438" t="s">
        <v>718</v>
      </c>
      <c r="Z18" s="439">
        <v>45.82</v>
      </c>
      <c r="AA18" s="440">
        <v>656.375</v>
      </c>
      <c r="AB18" s="438" t="s">
        <v>869</v>
      </c>
      <c r="AC18" s="438" t="s">
        <v>719</v>
      </c>
    </row>
    <row r="19" spans="1:29" ht="105" x14ac:dyDescent="0.2">
      <c r="A19" s="494">
        <v>10</v>
      </c>
      <c r="B19" s="494" t="s">
        <v>512</v>
      </c>
      <c r="C19" s="504" t="s">
        <v>724</v>
      </c>
      <c r="D19" s="504" t="s">
        <v>725</v>
      </c>
      <c r="E19" s="504" t="s">
        <v>703</v>
      </c>
      <c r="F19" s="500">
        <v>331.82</v>
      </c>
      <c r="G19" s="363">
        <v>1602.06</v>
      </c>
      <c r="H19" s="466" t="s">
        <v>726</v>
      </c>
      <c r="I19" s="466" t="s">
        <v>727</v>
      </c>
      <c r="L19" s="494" t="s">
        <v>512</v>
      </c>
      <c r="M19" s="504" t="s">
        <v>724</v>
      </c>
      <c r="N19" s="504" t="s">
        <v>725</v>
      </c>
      <c r="O19" s="504" t="s">
        <v>703</v>
      </c>
      <c r="P19" s="500">
        <v>331.82</v>
      </c>
      <c r="Q19" s="363">
        <v>1602.06</v>
      </c>
      <c r="R19" s="466" t="s">
        <v>726</v>
      </c>
      <c r="S19" s="466" t="s">
        <v>727</v>
      </c>
      <c r="V19" s="437" t="s">
        <v>512</v>
      </c>
      <c r="W19" s="438" t="s">
        <v>720</v>
      </c>
      <c r="X19" s="438" t="s">
        <v>721</v>
      </c>
      <c r="Y19" s="438" t="s">
        <v>718</v>
      </c>
      <c r="Z19" s="439">
        <v>44.75</v>
      </c>
      <c r="AA19" s="440">
        <v>750</v>
      </c>
      <c r="AB19" s="438" t="s">
        <v>722</v>
      </c>
      <c r="AC19" s="438" t="s">
        <v>723</v>
      </c>
    </row>
    <row r="20" spans="1:29" ht="45" x14ac:dyDescent="0.2">
      <c r="A20" s="496"/>
      <c r="B20" s="496"/>
      <c r="C20" s="505"/>
      <c r="D20" s="505"/>
      <c r="E20" s="505"/>
      <c r="F20" s="501"/>
      <c r="G20" s="363">
        <v>1602.06</v>
      </c>
      <c r="H20" s="466" t="s">
        <v>728</v>
      </c>
      <c r="I20" s="466" t="s">
        <v>729</v>
      </c>
      <c r="L20" s="496"/>
      <c r="M20" s="505"/>
      <c r="N20" s="505"/>
      <c r="O20" s="505"/>
      <c r="P20" s="501"/>
      <c r="Q20" s="363">
        <v>1602.06</v>
      </c>
      <c r="R20" s="466" t="s">
        <v>728</v>
      </c>
      <c r="S20" s="466" t="s">
        <v>729</v>
      </c>
      <c r="V20" s="497" t="s">
        <v>512</v>
      </c>
      <c r="W20" s="497" t="s">
        <v>724</v>
      </c>
      <c r="X20" s="497" t="s">
        <v>725</v>
      </c>
      <c r="Y20" s="438" t="s">
        <v>718</v>
      </c>
      <c r="Z20" s="439">
        <v>82.96</v>
      </c>
      <c r="AA20" s="440">
        <v>426.64375000000001</v>
      </c>
      <c r="AB20" s="438" t="s">
        <v>726</v>
      </c>
      <c r="AC20" s="438" t="s">
        <v>727</v>
      </c>
    </row>
    <row r="21" spans="1:29" ht="75" x14ac:dyDescent="0.2">
      <c r="A21" s="436">
        <v>11</v>
      </c>
      <c r="B21" s="436" t="s">
        <v>512</v>
      </c>
      <c r="C21" s="466" t="s">
        <v>730</v>
      </c>
      <c r="D21" s="466" t="s">
        <v>731</v>
      </c>
      <c r="E21" s="466" t="s">
        <v>703</v>
      </c>
      <c r="F21" s="467">
        <v>205.03</v>
      </c>
      <c r="G21" s="363">
        <v>2957.6400000000003</v>
      </c>
      <c r="H21" s="466" t="s">
        <v>732</v>
      </c>
      <c r="I21" s="466" t="s">
        <v>733</v>
      </c>
      <c r="L21" s="436" t="s">
        <v>512</v>
      </c>
      <c r="M21" s="466" t="s">
        <v>730</v>
      </c>
      <c r="N21" s="466" t="s">
        <v>731</v>
      </c>
      <c r="O21" s="466" t="s">
        <v>703</v>
      </c>
      <c r="P21" s="467">
        <v>205.03</v>
      </c>
      <c r="Q21" s="363">
        <v>2957.6400000000003</v>
      </c>
      <c r="R21" s="466" t="s">
        <v>732</v>
      </c>
      <c r="S21" s="466" t="s">
        <v>733</v>
      </c>
      <c r="V21" s="499"/>
      <c r="W21" s="499"/>
      <c r="X21" s="499"/>
      <c r="Y21" s="438" t="s">
        <v>718</v>
      </c>
      <c r="Z21" s="439"/>
      <c r="AA21" s="440">
        <v>426.64375000000001</v>
      </c>
      <c r="AB21" s="438" t="s">
        <v>728</v>
      </c>
      <c r="AC21" s="438" t="s">
        <v>729</v>
      </c>
    </row>
    <row r="22" spans="1:29" ht="105" x14ac:dyDescent="0.2">
      <c r="A22" s="436">
        <v>12</v>
      </c>
      <c r="B22" s="436" t="s">
        <v>512</v>
      </c>
      <c r="C22" s="466" t="s">
        <v>734</v>
      </c>
      <c r="D22" s="466" t="s">
        <v>735</v>
      </c>
      <c r="E22" s="466" t="s">
        <v>703</v>
      </c>
      <c r="F22" s="467">
        <v>162.18</v>
      </c>
      <c r="G22" s="363">
        <v>4621.3100000000004</v>
      </c>
      <c r="H22" s="466" t="s">
        <v>736</v>
      </c>
      <c r="I22" s="466" t="s">
        <v>737</v>
      </c>
      <c r="L22" s="436" t="s">
        <v>512</v>
      </c>
      <c r="M22" s="466" t="s">
        <v>734</v>
      </c>
      <c r="N22" s="466" t="s">
        <v>735</v>
      </c>
      <c r="O22" s="466" t="s">
        <v>703</v>
      </c>
      <c r="P22" s="467">
        <v>162.18</v>
      </c>
      <c r="Q22" s="363">
        <v>4621.3100000000004</v>
      </c>
      <c r="R22" s="466" t="s">
        <v>736</v>
      </c>
      <c r="S22" s="466" t="s">
        <v>737</v>
      </c>
      <c r="V22" s="437" t="s">
        <v>512</v>
      </c>
      <c r="W22" s="438" t="s">
        <v>730</v>
      </c>
      <c r="X22" s="438" t="s">
        <v>731</v>
      </c>
      <c r="Y22" s="438" t="s">
        <v>718</v>
      </c>
      <c r="Z22" s="439">
        <v>51.26</v>
      </c>
      <c r="AA22" s="440">
        <v>787.65000000000009</v>
      </c>
      <c r="AB22" s="438" t="s">
        <v>732</v>
      </c>
      <c r="AC22" s="438" t="s">
        <v>733</v>
      </c>
    </row>
    <row r="23" spans="1:29" ht="105" x14ac:dyDescent="0.2">
      <c r="A23" s="436">
        <v>13</v>
      </c>
      <c r="B23" s="436" t="s">
        <v>512</v>
      </c>
      <c r="C23" s="466" t="s">
        <v>738</v>
      </c>
      <c r="D23" s="466" t="s">
        <v>739</v>
      </c>
      <c r="E23" s="466" t="s">
        <v>703</v>
      </c>
      <c r="F23" s="467">
        <v>126.77</v>
      </c>
      <c r="G23" s="363">
        <v>1971.76</v>
      </c>
      <c r="H23" s="466" t="s">
        <v>740</v>
      </c>
      <c r="I23" s="466" t="s">
        <v>741</v>
      </c>
      <c r="L23" s="436" t="s">
        <v>512</v>
      </c>
      <c r="M23" s="466" t="s">
        <v>738</v>
      </c>
      <c r="N23" s="466" t="s">
        <v>739</v>
      </c>
      <c r="O23" s="466" t="s">
        <v>703</v>
      </c>
      <c r="P23" s="467">
        <v>126.77</v>
      </c>
      <c r="Q23" s="363">
        <v>1971.76</v>
      </c>
      <c r="R23" s="466" t="s">
        <v>740</v>
      </c>
      <c r="S23" s="466" t="s">
        <v>741</v>
      </c>
      <c r="V23" s="437" t="s">
        <v>512</v>
      </c>
      <c r="W23" s="438" t="s">
        <v>734</v>
      </c>
      <c r="X23" s="438" t="s">
        <v>735</v>
      </c>
      <c r="Y23" s="438" t="s">
        <v>718</v>
      </c>
      <c r="Z23" s="439">
        <v>40.549999999999997</v>
      </c>
      <c r="AA23" s="440">
        <v>1230.703125</v>
      </c>
      <c r="AB23" s="438" t="s">
        <v>736</v>
      </c>
      <c r="AC23" s="438" t="s">
        <v>737</v>
      </c>
    </row>
    <row r="24" spans="1:29" ht="90" x14ac:dyDescent="0.2">
      <c r="A24" s="436">
        <v>14</v>
      </c>
      <c r="B24" s="436" t="s">
        <v>512</v>
      </c>
      <c r="C24" s="466" t="s">
        <v>944</v>
      </c>
      <c r="D24" s="466" t="s">
        <v>945</v>
      </c>
      <c r="E24" s="466" t="s">
        <v>946</v>
      </c>
      <c r="F24" s="467">
        <v>100</v>
      </c>
      <c r="G24" s="363">
        <v>3697.05</v>
      </c>
      <c r="H24" s="466" t="s">
        <v>947</v>
      </c>
      <c r="I24" s="466" t="s">
        <v>948</v>
      </c>
      <c r="L24" s="436" t="s">
        <v>512</v>
      </c>
      <c r="M24" s="466" t="s">
        <v>944</v>
      </c>
      <c r="N24" s="466" t="s">
        <v>945</v>
      </c>
      <c r="O24" s="466" t="s">
        <v>946</v>
      </c>
      <c r="P24" s="467">
        <v>100</v>
      </c>
      <c r="Q24" s="363">
        <v>3697.05</v>
      </c>
      <c r="R24" s="466" t="s">
        <v>947</v>
      </c>
      <c r="S24" s="466" t="s">
        <v>948</v>
      </c>
      <c r="V24" s="437" t="s">
        <v>512</v>
      </c>
      <c r="W24" s="438" t="s">
        <v>738</v>
      </c>
      <c r="X24" s="438" t="s">
        <v>739</v>
      </c>
      <c r="Y24" s="438" t="s">
        <v>718</v>
      </c>
      <c r="Z24" s="439">
        <v>31.7</v>
      </c>
      <c r="AA24" s="440">
        <v>525.1</v>
      </c>
      <c r="AB24" s="438" t="s">
        <v>740</v>
      </c>
      <c r="AC24" s="438" t="s">
        <v>741</v>
      </c>
    </row>
    <row r="25" spans="1:29" ht="90" x14ac:dyDescent="0.2">
      <c r="A25" s="436">
        <v>15</v>
      </c>
      <c r="B25" s="436" t="s">
        <v>512</v>
      </c>
      <c r="C25" s="466" t="s">
        <v>944</v>
      </c>
      <c r="D25" s="466" t="s">
        <v>945</v>
      </c>
      <c r="E25" s="466" t="s">
        <v>949</v>
      </c>
      <c r="F25" s="467">
        <v>202.81</v>
      </c>
      <c r="G25" s="363">
        <v>6544.75</v>
      </c>
      <c r="H25" s="466" t="s">
        <v>947</v>
      </c>
      <c r="I25" s="466" t="s">
        <v>948</v>
      </c>
      <c r="L25" s="436" t="s">
        <v>512</v>
      </c>
      <c r="M25" s="466" t="s">
        <v>944</v>
      </c>
      <c r="N25" s="466" t="s">
        <v>945</v>
      </c>
      <c r="O25" s="466" t="s">
        <v>949</v>
      </c>
      <c r="P25" s="467">
        <v>202.81</v>
      </c>
      <c r="Q25" s="363">
        <v>6544.75</v>
      </c>
      <c r="R25" s="466" t="s">
        <v>947</v>
      </c>
      <c r="S25" s="466" t="s">
        <v>948</v>
      </c>
      <c r="V25" s="437" t="s">
        <v>512</v>
      </c>
      <c r="W25" s="438" t="s">
        <v>742</v>
      </c>
      <c r="X25" s="438" t="s">
        <v>743</v>
      </c>
      <c r="Y25" s="438" t="s">
        <v>718</v>
      </c>
      <c r="Z25" s="439">
        <v>34.700000000000003</v>
      </c>
      <c r="AA25" s="440">
        <v>250</v>
      </c>
      <c r="AB25" s="438">
        <v>36001011819</v>
      </c>
      <c r="AC25" s="438" t="s">
        <v>744</v>
      </c>
    </row>
    <row r="26" spans="1:29" ht="75" x14ac:dyDescent="0.2">
      <c r="A26" s="436">
        <v>16</v>
      </c>
      <c r="B26" s="436" t="s">
        <v>512</v>
      </c>
      <c r="C26" s="466" t="s">
        <v>742</v>
      </c>
      <c r="D26" s="466" t="s">
        <v>743</v>
      </c>
      <c r="E26" s="466" t="s">
        <v>718</v>
      </c>
      <c r="F26" s="467">
        <v>138.80000000000001</v>
      </c>
      <c r="G26" s="363">
        <v>1000</v>
      </c>
      <c r="H26" s="466">
        <v>36001011819</v>
      </c>
      <c r="I26" s="466" t="s">
        <v>744</v>
      </c>
      <c r="L26" s="436" t="s">
        <v>512</v>
      </c>
      <c r="M26" s="466" t="s">
        <v>742</v>
      </c>
      <c r="N26" s="466" t="s">
        <v>743</v>
      </c>
      <c r="O26" s="466" t="s">
        <v>718</v>
      </c>
      <c r="P26" s="467">
        <v>138.80000000000001</v>
      </c>
      <c r="Q26" s="363">
        <v>1000</v>
      </c>
      <c r="R26" s="466">
        <v>36001011819</v>
      </c>
      <c r="S26" s="466" t="s">
        <v>744</v>
      </c>
      <c r="V26" s="437" t="s">
        <v>512</v>
      </c>
      <c r="W26" s="438" t="s">
        <v>745</v>
      </c>
      <c r="X26" s="438" t="s">
        <v>746</v>
      </c>
      <c r="Y26" s="438" t="s">
        <v>718</v>
      </c>
      <c r="Z26" s="439">
        <v>17.84</v>
      </c>
      <c r="AA26" s="440">
        <v>187.5</v>
      </c>
      <c r="AB26" s="438" t="s">
        <v>747</v>
      </c>
      <c r="AC26" s="438" t="s">
        <v>748</v>
      </c>
    </row>
    <row r="27" spans="1:29" ht="75" x14ac:dyDescent="0.2">
      <c r="A27" s="436">
        <v>17</v>
      </c>
      <c r="B27" s="436" t="s">
        <v>512</v>
      </c>
      <c r="C27" s="466" t="s">
        <v>745</v>
      </c>
      <c r="D27" s="466" t="s">
        <v>746</v>
      </c>
      <c r="E27" s="466" t="s">
        <v>703</v>
      </c>
      <c r="F27" s="467">
        <v>71.34</v>
      </c>
      <c r="G27" s="363">
        <v>750</v>
      </c>
      <c r="H27" s="466" t="s">
        <v>747</v>
      </c>
      <c r="I27" s="466" t="s">
        <v>748</v>
      </c>
      <c r="L27" s="436" t="s">
        <v>512</v>
      </c>
      <c r="M27" s="466" t="s">
        <v>745</v>
      </c>
      <c r="N27" s="466" t="s">
        <v>746</v>
      </c>
      <c r="O27" s="466" t="s">
        <v>703</v>
      </c>
      <c r="P27" s="467">
        <v>71.34</v>
      </c>
      <c r="Q27" s="363">
        <v>750</v>
      </c>
      <c r="R27" s="466" t="s">
        <v>747</v>
      </c>
      <c r="S27" s="466" t="s">
        <v>748</v>
      </c>
      <c r="V27" s="437" t="s">
        <v>512</v>
      </c>
      <c r="W27" s="438" t="s">
        <v>749</v>
      </c>
      <c r="X27" s="438" t="s">
        <v>750</v>
      </c>
      <c r="Y27" s="438" t="s">
        <v>718</v>
      </c>
      <c r="Z27" s="439">
        <v>55.75</v>
      </c>
      <c r="AA27" s="440">
        <v>156.25</v>
      </c>
      <c r="AB27" s="438" t="s">
        <v>751</v>
      </c>
      <c r="AC27" s="438" t="s">
        <v>752</v>
      </c>
    </row>
    <row r="28" spans="1:29" ht="75" x14ac:dyDescent="0.2">
      <c r="A28" s="436">
        <v>18</v>
      </c>
      <c r="B28" s="436" t="s">
        <v>512</v>
      </c>
      <c r="C28" s="466" t="s">
        <v>749</v>
      </c>
      <c r="D28" s="466" t="s">
        <v>750</v>
      </c>
      <c r="E28" s="466" t="s">
        <v>703</v>
      </c>
      <c r="F28" s="467">
        <v>223</v>
      </c>
      <c r="G28" s="363">
        <v>625</v>
      </c>
      <c r="H28" s="466" t="s">
        <v>751</v>
      </c>
      <c r="I28" s="466" t="s">
        <v>752</v>
      </c>
      <c r="L28" s="436" t="s">
        <v>512</v>
      </c>
      <c r="M28" s="466" t="s">
        <v>749</v>
      </c>
      <c r="N28" s="466" t="s">
        <v>750</v>
      </c>
      <c r="O28" s="466" t="s">
        <v>703</v>
      </c>
      <c r="P28" s="467">
        <v>223</v>
      </c>
      <c r="Q28" s="363">
        <v>625</v>
      </c>
      <c r="R28" s="466" t="s">
        <v>751</v>
      </c>
      <c r="S28" s="466" t="s">
        <v>752</v>
      </c>
      <c r="V28" s="437" t="s">
        <v>512</v>
      </c>
      <c r="W28" s="438" t="s">
        <v>758</v>
      </c>
      <c r="X28" s="438" t="s">
        <v>759</v>
      </c>
      <c r="Y28" s="438" t="s">
        <v>718</v>
      </c>
      <c r="Z28" s="439">
        <v>41.33</v>
      </c>
      <c r="AA28" s="440">
        <v>164.09375</v>
      </c>
      <c r="AB28" s="438">
        <v>25001000163</v>
      </c>
      <c r="AC28" s="438" t="s">
        <v>760</v>
      </c>
    </row>
    <row r="29" spans="1:29" ht="90" x14ac:dyDescent="0.2">
      <c r="A29" s="436">
        <v>19</v>
      </c>
      <c r="B29" s="436" t="s">
        <v>512</v>
      </c>
      <c r="C29" s="466" t="s">
        <v>753</v>
      </c>
      <c r="D29" s="466" t="s">
        <v>754</v>
      </c>
      <c r="E29" s="466" t="s">
        <v>755</v>
      </c>
      <c r="F29" s="467">
        <v>123.24</v>
      </c>
      <c r="G29" s="363">
        <v>900</v>
      </c>
      <c r="H29" s="466" t="s">
        <v>756</v>
      </c>
      <c r="I29" s="466" t="s">
        <v>757</v>
      </c>
      <c r="L29" s="436" t="s">
        <v>512</v>
      </c>
      <c r="M29" s="466" t="s">
        <v>753</v>
      </c>
      <c r="N29" s="466" t="s">
        <v>754</v>
      </c>
      <c r="O29" s="466" t="s">
        <v>755</v>
      </c>
      <c r="P29" s="467">
        <v>123.24</v>
      </c>
      <c r="Q29" s="363">
        <v>900</v>
      </c>
      <c r="R29" s="466" t="s">
        <v>756</v>
      </c>
      <c r="S29" s="466" t="s">
        <v>757</v>
      </c>
      <c r="V29" s="437" t="s">
        <v>512</v>
      </c>
      <c r="W29" s="438" t="s">
        <v>870</v>
      </c>
      <c r="X29" s="438" t="s">
        <v>871</v>
      </c>
      <c r="Y29" s="438" t="s">
        <v>718</v>
      </c>
      <c r="Z29" s="439">
        <v>49.5</v>
      </c>
      <c r="AA29" s="440">
        <v>225</v>
      </c>
      <c r="AB29" s="438" t="s">
        <v>872</v>
      </c>
      <c r="AC29" s="438" t="s">
        <v>873</v>
      </c>
    </row>
    <row r="30" spans="1:29" ht="90" x14ac:dyDescent="0.2">
      <c r="A30" s="436">
        <v>20</v>
      </c>
      <c r="B30" s="436" t="s">
        <v>512</v>
      </c>
      <c r="C30" s="466" t="s">
        <v>753</v>
      </c>
      <c r="D30" s="466" t="s">
        <v>754</v>
      </c>
      <c r="E30" s="466" t="s">
        <v>703</v>
      </c>
      <c r="F30" s="467">
        <v>138.76</v>
      </c>
      <c r="G30" s="363">
        <v>625</v>
      </c>
      <c r="H30" s="466" t="s">
        <v>950</v>
      </c>
      <c r="I30" s="466" t="s">
        <v>951</v>
      </c>
      <c r="L30" s="436" t="s">
        <v>512</v>
      </c>
      <c r="M30" s="466" t="s">
        <v>753</v>
      </c>
      <c r="N30" s="466" t="s">
        <v>754</v>
      </c>
      <c r="O30" s="466" t="s">
        <v>703</v>
      </c>
      <c r="P30" s="467">
        <v>138.76</v>
      </c>
      <c r="Q30" s="363">
        <v>625</v>
      </c>
      <c r="R30" s="466" t="s">
        <v>950</v>
      </c>
      <c r="S30" s="466" t="s">
        <v>951</v>
      </c>
      <c r="V30" s="437" t="s">
        <v>512</v>
      </c>
      <c r="W30" s="438" t="s">
        <v>761</v>
      </c>
      <c r="X30" s="438" t="s">
        <v>762</v>
      </c>
      <c r="Y30" s="438" t="s">
        <v>718</v>
      </c>
      <c r="Z30" s="439">
        <v>35</v>
      </c>
      <c r="AA30" s="440">
        <v>175</v>
      </c>
      <c r="AB30" s="438" t="s">
        <v>763</v>
      </c>
      <c r="AC30" s="438" t="s">
        <v>764</v>
      </c>
    </row>
    <row r="31" spans="1:29" ht="90" x14ac:dyDescent="0.2">
      <c r="A31" s="436">
        <v>21</v>
      </c>
      <c r="B31" s="436" t="s">
        <v>512</v>
      </c>
      <c r="C31" s="466" t="s">
        <v>758</v>
      </c>
      <c r="D31" s="466" t="s">
        <v>759</v>
      </c>
      <c r="E31" s="466" t="s">
        <v>703</v>
      </c>
      <c r="F31" s="467">
        <v>165.3</v>
      </c>
      <c r="G31" s="363">
        <v>616.17999999999995</v>
      </c>
      <c r="H31" s="466">
        <v>25001000163</v>
      </c>
      <c r="I31" s="466" t="s">
        <v>760</v>
      </c>
      <c r="L31" s="436" t="s">
        <v>512</v>
      </c>
      <c r="M31" s="466" t="s">
        <v>758</v>
      </c>
      <c r="N31" s="466" t="s">
        <v>759</v>
      </c>
      <c r="O31" s="466" t="s">
        <v>703</v>
      </c>
      <c r="P31" s="467">
        <v>165.3</v>
      </c>
      <c r="Q31" s="363">
        <v>616.17999999999995</v>
      </c>
      <c r="R31" s="466">
        <v>25001000163</v>
      </c>
      <c r="S31" s="466" t="s">
        <v>760</v>
      </c>
      <c r="V31" s="437" t="s">
        <v>512</v>
      </c>
      <c r="W31" s="438" t="s">
        <v>765</v>
      </c>
      <c r="X31" s="438" t="s">
        <v>766</v>
      </c>
      <c r="Y31" s="438" t="s">
        <v>718</v>
      </c>
      <c r="Z31" s="439">
        <v>16.07</v>
      </c>
      <c r="AA31" s="440">
        <v>250</v>
      </c>
      <c r="AB31" s="438" t="s">
        <v>767</v>
      </c>
      <c r="AC31" s="438" t="s">
        <v>768</v>
      </c>
    </row>
    <row r="32" spans="1:29" ht="75" x14ac:dyDescent="0.2">
      <c r="A32" s="436">
        <v>22</v>
      </c>
      <c r="B32" s="436" t="s">
        <v>512</v>
      </c>
      <c r="C32" s="466" t="s">
        <v>952</v>
      </c>
      <c r="D32" s="466" t="s">
        <v>953</v>
      </c>
      <c r="E32" s="466" t="s">
        <v>703</v>
      </c>
      <c r="F32" s="467">
        <v>150</v>
      </c>
      <c r="G32" s="363">
        <v>300</v>
      </c>
      <c r="H32" s="466" t="s">
        <v>954</v>
      </c>
      <c r="I32" s="466" t="s">
        <v>955</v>
      </c>
      <c r="L32" s="436" t="s">
        <v>512</v>
      </c>
      <c r="M32" s="466" t="s">
        <v>952</v>
      </c>
      <c r="N32" s="466" t="s">
        <v>953</v>
      </c>
      <c r="O32" s="466" t="s">
        <v>703</v>
      </c>
      <c r="P32" s="467">
        <v>150</v>
      </c>
      <c r="Q32" s="363">
        <v>300</v>
      </c>
      <c r="R32" s="466" t="s">
        <v>954</v>
      </c>
      <c r="S32" s="466" t="s">
        <v>955</v>
      </c>
      <c r="V32" s="437" t="s">
        <v>512</v>
      </c>
      <c r="W32" s="438" t="s">
        <v>769</v>
      </c>
      <c r="X32" s="438" t="s">
        <v>770</v>
      </c>
      <c r="Y32" s="438" t="s">
        <v>718</v>
      </c>
      <c r="Z32" s="439">
        <v>45</v>
      </c>
      <c r="AA32" s="440">
        <v>140.63</v>
      </c>
      <c r="AB32" s="438" t="s">
        <v>771</v>
      </c>
      <c r="AC32" s="438" t="s">
        <v>772</v>
      </c>
    </row>
    <row r="33" spans="1:29" ht="90" x14ac:dyDescent="0.2">
      <c r="A33" s="436">
        <v>23</v>
      </c>
      <c r="B33" s="436" t="s">
        <v>512</v>
      </c>
      <c r="C33" s="466" t="s">
        <v>956</v>
      </c>
      <c r="D33" s="466" t="s">
        <v>957</v>
      </c>
      <c r="E33" s="466" t="s">
        <v>718</v>
      </c>
      <c r="F33" s="467">
        <v>108.28</v>
      </c>
      <c r="G33" s="363">
        <v>900</v>
      </c>
      <c r="H33" s="466" t="s">
        <v>958</v>
      </c>
      <c r="I33" s="466" t="s">
        <v>959</v>
      </c>
      <c r="L33" s="436" t="s">
        <v>512</v>
      </c>
      <c r="M33" s="466" t="s">
        <v>956</v>
      </c>
      <c r="N33" s="466" t="s">
        <v>957</v>
      </c>
      <c r="O33" s="466" t="s">
        <v>718</v>
      </c>
      <c r="P33" s="467">
        <v>108.28</v>
      </c>
      <c r="Q33" s="363">
        <v>900</v>
      </c>
      <c r="R33" s="466" t="s">
        <v>958</v>
      </c>
      <c r="S33" s="466" t="s">
        <v>959</v>
      </c>
      <c r="V33" s="437" t="s">
        <v>512</v>
      </c>
      <c r="W33" s="438" t="s">
        <v>773</v>
      </c>
      <c r="X33" s="438" t="s">
        <v>774</v>
      </c>
      <c r="Y33" s="438" t="s">
        <v>718</v>
      </c>
      <c r="Z33" s="439">
        <v>33.75</v>
      </c>
      <c r="AA33" s="440">
        <v>187.5</v>
      </c>
      <c r="AB33" s="438" t="s">
        <v>775</v>
      </c>
      <c r="AC33" s="438" t="s">
        <v>776</v>
      </c>
    </row>
    <row r="34" spans="1:29" ht="90" x14ac:dyDescent="0.2">
      <c r="A34" s="436">
        <v>24</v>
      </c>
      <c r="B34" s="436" t="s">
        <v>512</v>
      </c>
      <c r="C34" s="466" t="s">
        <v>761</v>
      </c>
      <c r="D34" s="466" t="s">
        <v>762</v>
      </c>
      <c r="E34" s="466" t="s">
        <v>703</v>
      </c>
      <c r="F34" s="467">
        <v>140</v>
      </c>
      <c r="G34" s="363">
        <v>700</v>
      </c>
      <c r="H34" s="466" t="s">
        <v>763</v>
      </c>
      <c r="I34" s="466" t="s">
        <v>764</v>
      </c>
      <c r="L34" s="436" t="s">
        <v>512</v>
      </c>
      <c r="M34" s="466" t="s">
        <v>761</v>
      </c>
      <c r="N34" s="466" t="s">
        <v>762</v>
      </c>
      <c r="O34" s="466" t="s">
        <v>703</v>
      </c>
      <c r="P34" s="467">
        <v>140</v>
      </c>
      <c r="Q34" s="363">
        <v>700</v>
      </c>
      <c r="R34" s="466" t="s">
        <v>763</v>
      </c>
      <c r="S34" s="466" t="s">
        <v>764</v>
      </c>
      <c r="V34" s="437" t="s">
        <v>512</v>
      </c>
      <c r="W34" s="438" t="s">
        <v>874</v>
      </c>
      <c r="X34" s="438" t="s">
        <v>875</v>
      </c>
      <c r="Y34" s="438" t="s">
        <v>718</v>
      </c>
      <c r="Z34" s="439">
        <v>61.76</v>
      </c>
      <c r="AA34" s="440">
        <v>312.5</v>
      </c>
      <c r="AB34" s="438" t="s">
        <v>876</v>
      </c>
      <c r="AC34" s="438" t="s">
        <v>877</v>
      </c>
    </row>
    <row r="35" spans="1:29" ht="90" x14ac:dyDescent="0.2">
      <c r="A35" s="436">
        <v>25</v>
      </c>
      <c r="B35" s="436" t="s">
        <v>512</v>
      </c>
      <c r="C35" s="466" t="s">
        <v>765</v>
      </c>
      <c r="D35" s="466" t="s">
        <v>766</v>
      </c>
      <c r="E35" s="466" t="s">
        <v>703</v>
      </c>
      <c r="F35" s="467">
        <v>64.3</v>
      </c>
      <c r="G35" s="363">
        <v>1000</v>
      </c>
      <c r="H35" s="466" t="s">
        <v>767</v>
      </c>
      <c r="I35" s="466" t="s">
        <v>768</v>
      </c>
      <c r="L35" s="436" t="s">
        <v>512</v>
      </c>
      <c r="M35" s="466" t="s">
        <v>765</v>
      </c>
      <c r="N35" s="466" t="s">
        <v>766</v>
      </c>
      <c r="O35" s="466" t="s">
        <v>703</v>
      </c>
      <c r="P35" s="467">
        <v>64.3</v>
      </c>
      <c r="Q35" s="363">
        <v>1000</v>
      </c>
      <c r="R35" s="466" t="s">
        <v>767</v>
      </c>
      <c r="S35" s="466" t="s">
        <v>768</v>
      </c>
      <c r="V35" s="437" t="s">
        <v>512</v>
      </c>
      <c r="W35" s="438" t="s">
        <v>777</v>
      </c>
      <c r="X35" s="438" t="s">
        <v>778</v>
      </c>
      <c r="Y35" s="438" t="s">
        <v>718</v>
      </c>
      <c r="Z35" s="439">
        <v>10.31</v>
      </c>
      <c r="AA35" s="440">
        <v>218.75</v>
      </c>
      <c r="AB35" s="438">
        <v>60001129329</v>
      </c>
      <c r="AC35" s="438" t="s">
        <v>779</v>
      </c>
    </row>
    <row r="36" spans="1:29" ht="90" x14ac:dyDescent="0.2">
      <c r="A36" s="436">
        <v>26</v>
      </c>
      <c r="B36" s="436" t="s">
        <v>512</v>
      </c>
      <c r="C36" s="466" t="s">
        <v>960</v>
      </c>
      <c r="D36" s="466" t="s">
        <v>961</v>
      </c>
      <c r="E36" s="466" t="s">
        <v>703</v>
      </c>
      <c r="F36" s="467">
        <v>47</v>
      </c>
      <c r="G36" s="363">
        <v>625</v>
      </c>
      <c r="H36" s="466" t="s">
        <v>962</v>
      </c>
      <c r="I36" s="466" t="s">
        <v>963</v>
      </c>
      <c r="L36" s="436" t="s">
        <v>512</v>
      </c>
      <c r="M36" s="466" t="s">
        <v>960</v>
      </c>
      <c r="N36" s="466" t="s">
        <v>961</v>
      </c>
      <c r="O36" s="466" t="s">
        <v>703</v>
      </c>
      <c r="P36" s="467">
        <v>47</v>
      </c>
      <c r="Q36" s="363">
        <v>625</v>
      </c>
      <c r="R36" s="466" t="s">
        <v>962</v>
      </c>
      <c r="S36" s="466" t="s">
        <v>963</v>
      </c>
      <c r="V36" s="437" t="s">
        <v>512</v>
      </c>
      <c r="W36" s="438" t="s">
        <v>780</v>
      </c>
      <c r="X36" s="438" t="s">
        <v>781</v>
      </c>
      <c r="Y36" s="438" t="s">
        <v>718</v>
      </c>
      <c r="Z36" s="439">
        <v>40.18</v>
      </c>
      <c r="AA36" s="440">
        <v>218.75</v>
      </c>
      <c r="AB36" s="438" t="s">
        <v>782</v>
      </c>
      <c r="AC36" s="438" t="s">
        <v>783</v>
      </c>
    </row>
    <row r="37" spans="1:29" ht="75" x14ac:dyDescent="0.2">
      <c r="A37" s="494">
        <v>27</v>
      </c>
      <c r="B37" s="494" t="s">
        <v>512</v>
      </c>
      <c r="C37" s="504" t="s">
        <v>964</v>
      </c>
      <c r="D37" s="504" t="s">
        <v>965</v>
      </c>
      <c r="E37" s="504" t="s">
        <v>703</v>
      </c>
      <c r="F37" s="500">
        <v>87.1</v>
      </c>
      <c r="G37" s="363">
        <v>400</v>
      </c>
      <c r="H37" s="466" t="s">
        <v>966</v>
      </c>
      <c r="I37" s="466" t="s">
        <v>967</v>
      </c>
      <c r="L37" s="494" t="s">
        <v>512</v>
      </c>
      <c r="M37" s="504" t="s">
        <v>964</v>
      </c>
      <c r="N37" s="504" t="s">
        <v>965</v>
      </c>
      <c r="O37" s="504" t="s">
        <v>703</v>
      </c>
      <c r="P37" s="500">
        <v>87.1</v>
      </c>
      <c r="Q37" s="363">
        <v>400</v>
      </c>
      <c r="R37" s="466" t="s">
        <v>966</v>
      </c>
      <c r="S37" s="466" t="s">
        <v>967</v>
      </c>
      <c r="V37" s="437" t="s">
        <v>512</v>
      </c>
      <c r="W37" s="438" t="s">
        <v>784</v>
      </c>
      <c r="X37" s="438" t="s">
        <v>785</v>
      </c>
      <c r="Y37" s="438" t="s">
        <v>718</v>
      </c>
      <c r="Z37" s="439">
        <v>16.25</v>
      </c>
      <c r="AA37" s="440">
        <v>250</v>
      </c>
      <c r="AB37" s="438" t="s">
        <v>786</v>
      </c>
      <c r="AC37" s="438" t="s">
        <v>787</v>
      </c>
    </row>
    <row r="38" spans="1:29" ht="90" x14ac:dyDescent="0.2">
      <c r="A38" s="496"/>
      <c r="B38" s="496"/>
      <c r="C38" s="505"/>
      <c r="D38" s="505"/>
      <c r="E38" s="505"/>
      <c r="F38" s="501"/>
      <c r="G38" s="363">
        <v>400</v>
      </c>
      <c r="H38" s="466" t="s">
        <v>968</v>
      </c>
      <c r="I38" s="466" t="s">
        <v>969</v>
      </c>
      <c r="L38" s="496"/>
      <c r="M38" s="505"/>
      <c r="N38" s="505"/>
      <c r="O38" s="505"/>
      <c r="P38" s="501"/>
      <c r="Q38" s="363">
        <v>400</v>
      </c>
      <c r="R38" s="466" t="s">
        <v>968</v>
      </c>
      <c r="S38" s="466" t="s">
        <v>969</v>
      </c>
      <c r="V38" s="437" t="s">
        <v>512</v>
      </c>
      <c r="W38" s="438" t="s">
        <v>791</v>
      </c>
      <c r="X38" s="438" t="s">
        <v>792</v>
      </c>
      <c r="Y38" s="438" t="s">
        <v>718</v>
      </c>
      <c r="Z38" s="439">
        <v>30.45</v>
      </c>
      <c r="AA38" s="440">
        <v>187.5</v>
      </c>
      <c r="AB38" s="438" t="s">
        <v>878</v>
      </c>
      <c r="AC38" s="438" t="s">
        <v>879</v>
      </c>
    </row>
    <row r="39" spans="1:29" ht="90" x14ac:dyDescent="0.2">
      <c r="A39" s="436">
        <v>28</v>
      </c>
      <c r="B39" s="436" t="s">
        <v>512</v>
      </c>
      <c r="C39" s="466" t="s">
        <v>970</v>
      </c>
      <c r="D39" s="466" t="s">
        <v>971</v>
      </c>
      <c r="E39" s="466" t="s">
        <v>703</v>
      </c>
      <c r="F39" s="467">
        <v>169.7</v>
      </c>
      <c r="G39" s="363">
        <v>625</v>
      </c>
      <c r="H39" s="466" t="s">
        <v>972</v>
      </c>
      <c r="I39" s="466" t="s">
        <v>973</v>
      </c>
      <c r="L39" s="436" t="s">
        <v>512</v>
      </c>
      <c r="M39" s="466" t="s">
        <v>970</v>
      </c>
      <c r="N39" s="466" t="s">
        <v>971</v>
      </c>
      <c r="O39" s="466" t="s">
        <v>703</v>
      </c>
      <c r="P39" s="467">
        <v>169.7</v>
      </c>
      <c r="Q39" s="363">
        <v>625</v>
      </c>
      <c r="R39" s="466" t="s">
        <v>972</v>
      </c>
      <c r="S39" s="466" t="s">
        <v>973</v>
      </c>
      <c r="V39" s="437" t="s">
        <v>512</v>
      </c>
      <c r="W39" s="438" t="s">
        <v>793</v>
      </c>
      <c r="X39" s="438" t="s">
        <v>794</v>
      </c>
      <c r="Y39" s="438" t="s">
        <v>718</v>
      </c>
      <c r="Z39" s="439">
        <v>34</v>
      </c>
      <c r="AA39" s="440">
        <v>131.25</v>
      </c>
      <c r="AB39" s="438">
        <v>38001047179</v>
      </c>
      <c r="AC39" s="438" t="s">
        <v>795</v>
      </c>
    </row>
    <row r="40" spans="1:29" ht="90" x14ac:dyDescent="0.2">
      <c r="A40" s="436">
        <v>29</v>
      </c>
      <c r="B40" s="436" t="s">
        <v>512</v>
      </c>
      <c r="C40" s="466" t="s">
        <v>769</v>
      </c>
      <c r="D40" s="466" t="s">
        <v>770</v>
      </c>
      <c r="E40" s="466" t="s">
        <v>703</v>
      </c>
      <c r="F40" s="467">
        <v>180</v>
      </c>
      <c r="G40" s="363">
        <v>562.5</v>
      </c>
      <c r="H40" s="466" t="s">
        <v>771</v>
      </c>
      <c r="I40" s="466" t="s">
        <v>772</v>
      </c>
      <c r="L40" s="436" t="s">
        <v>512</v>
      </c>
      <c r="M40" s="466" t="s">
        <v>769</v>
      </c>
      <c r="N40" s="466" t="s">
        <v>770</v>
      </c>
      <c r="O40" s="466" t="s">
        <v>703</v>
      </c>
      <c r="P40" s="467">
        <v>180</v>
      </c>
      <c r="Q40" s="363">
        <v>562.5</v>
      </c>
      <c r="R40" s="466" t="s">
        <v>771</v>
      </c>
      <c r="S40" s="466" t="s">
        <v>772</v>
      </c>
      <c r="V40" s="437" t="s">
        <v>512</v>
      </c>
      <c r="W40" s="438" t="s">
        <v>796</v>
      </c>
      <c r="X40" s="438" t="s">
        <v>797</v>
      </c>
      <c r="Y40" s="438" t="s">
        <v>718</v>
      </c>
      <c r="Z40" s="439">
        <v>46</v>
      </c>
      <c r="AA40" s="440">
        <v>450</v>
      </c>
      <c r="AB40" s="438" t="s">
        <v>798</v>
      </c>
      <c r="AC40" s="438" t="s">
        <v>799</v>
      </c>
    </row>
    <row r="41" spans="1:29" ht="90" x14ac:dyDescent="0.2">
      <c r="A41" s="436">
        <v>30</v>
      </c>
      <c r="B41" s="436" t="s">
        <v>512</v>
      </c>
      <c r="C41" s="466" t="s">
        <v>773</v>
      </c>
      <c r="D41" s="466" t="s">
        <v>774</v>
      </c>
      <c r="E41" s="466" t="s">
        <v>703</v>
      </c>
      <c r="F41" s="467">
        <v>135</v>
      </c>
      <c r="G41" s="363">
        <v>750</v>
      </c>
      <c r="H41" s="466" t="s">
        <v>775</v>
      </c>
      <c r="I41" s="466" t="s">
        <v>776</v>
      </c>
      <c r="L41" s="436" t="s">
        <v>512</v>
      </c>
      <c r="M41" s="466" t="s">
        <v>773</v>
      </c>
      <c r="N41" s="466" t="s">
        <v>774</v>
      </c>
      <c r="O41" s="466" t="s">
        <v>703</v>
      </c>
      <c r="P41" s="467">
        <v>135</v>
      </c>
      <c r="Q41" s="363">
        <v>750</v>
      </c>
      <c r="R41" s="466" t="s">
        <v>775</v>
      </c>
      <c r="S41" s="466" t="s">
        <v>776</v>
      </c>
      <c r="V41" s="437" t="s">
        <v>512</v>
      </c>
      <c r="W41" s="438" t="s">
        <v>800</v>
      </c>
      <c r="X41" s="438" t="s">
        <v>801</v>
      </c>
      <c r="Y41" s="438" t="s">
        <v>718</v>
      </c>
      <c r="Z41" s="439">
        <v>32.5</v>
      </c>
      <c r="AA41" s="440">
        <v>187.5</v>
      </c>
      <c r="AB41" s="438">
        <v>225063123</v>
      </c>
      <c r="AC41" s="438" t="s">
        <v>802</v>
      </c>
    </row>
    <row r="42" spans="1:29" ht="75" x14ac:dyDescent="0.2">
      <c r="A42" s="436">
        <v>31</v>
      </c>
      <c r="B42" s="436" t="s">
        <v>512</v>
      </c>
      <c r="C42" s="466" t="s">
        <v>974</v>
      </c>
      <c r="D42" s="466" t="s">
        <v>975</v>
      </c>
      <c r="E42" s="466" t="s">
        <v>718</v>
      </c>
      <c r="F42" s="467">
        <v>100.2</v>
      </c>
      <c r="G42" s="363">
        <v>625</v>
      </c>
      <c r="H42" s="466" t="s">
        <v>976</v>
      </c>
      <c r="I42" s="466" t="s">
        <v>977</v>
      </c>
      <c r="L42" s="436" t="s">
        <v>512</v>
      </c>
      <c r="M42" s="466" t="s">
        <v>974</v>
      </c>
      <c r="N42" s="466" t="s">
        <v>975</v>
      </c>
      <c r="O42" s="466" t="s">
        <v>718</v>
      </c>
      <c r="P42" s="467">
        <v>100.2</v>
      </c>
      <c r="Q42" s="363">
        <v>625</v>
      </c>
      <c r="R42" s="466" t="s">
        <v>976</v>
      </c>
      <c r="S42" s="466" t="s">
        <v>977</v>
      </c>
      <c r="V42" s="437" t="s">
        <v>512</v>
      </c>
      <c r="W42" s="438" t="s">
        <v>803</v>
      </c>
      <c r="X42" s="438" t="s">
        <v>804</v>
      </c>
      <c r="Y42" s="438" t="s">
        <v>718</v>
      </c>
      <c r="Z42" s="439">
        <v>22.5</v>
      </c>
      <c r="AA42" s="440">
        <v>140.63</v>
      </c>
      <c r="AB42" s="438" t="s">
        <v>805</v>
      </c>
      <c r="AC42" s="438" t="s">
        <v>806</v>
      </c>
    </row>
    <row r="43" spans="1:29" ht="75" x14ac:dyDescent="0.2">
      <c r="A43" s="436">
        <v>32</v>
      </c>
      <c r="B43" s="436" t="s">
        <v>512</v>
      </c>
      <c r="C43" s="466" t="s">
        <v>777</v>
      </c>
      <c r="D43" s="466" t="s">
        <v>778</v>
      </c>
      <c r="E43" s="466" t="s">
        <v>703</v>
      </c>
      <c r="F43" s="467">
        <v>41.25</v>
      </c>
      <c r="G43" s="363">
        <v>875</v>
      </c>
      <c r="H43" s="466">
        <v>60001129329</v>
      </c>
      <c r="I43" s="466" t="s">
        <v>779</v>
      </c>
      <c r="L43" s="436" t="s">
        <v>512</v>
      </c>
      <c r="M43" s="466" t="s">
        <v>777</v>
      </c>
      <c r="N43" s="466" t="s">
        <v>778</v>
      </c>
      <c r="O43" s="466" t="s">
        <v>703</v>
      </c>
      <c r="P43" s="467">
        <v>41.25</v>
      </c>
      <c r="Q43" s="363">
        <v>875</v>
      </c>
      <c r="R43" s="466">
        <v>60001129329</v>
      </c>
      <c r="S43" s="466" t="s">
        <v>779</v>
      </c>
      <c r="V43" s="437" t="s">
        <v>512</v>
      </c>
      <c r="W43" s="438" t="s">
        <v>812</v>
      </c>
      <c r="X43" s="438" t="s">
        <v>813</v>
      </c>
      <c r="Y43" s="438" t="s">
        <v>718</v>
      </c>
      <c r="Z43" s="439">
        <v>24.75</v>
      </c>
      <c r="AA43" s="440">
        <v>250</v>
      </c>
      <c r="AB43" s="438" t="s">
        <v>814</v>
      </c>
      <c r="AC43" s="438" t="s">
        <v>815</v>
      </c>
    </row>
    <row r="44" spans="1:29" ht="90" x14ac:dyDescent="0.2">
      <c r="A44" s="436">
        <v>33</v>
      </c>
      <c r="B44" s="436" t="s">
        <v>512</v>
      </c>
      <c r="C44" s="466" t="s">
        <v>978</v>
      </c>
      <c r="D44" s="466" t="s">
        <v>979</v>
      </c>
      <c r="E44" s="466" t="s">
        <v>703</v>
      </c>
      <c r="F44" s="467">
        <v>150.21</v>
      </c>
      <c r="G44" s="363">
        <v>1500</v>
      </c>
      <c r="H44" s="466" t="s">
        <v>980</v>
      </c>
      <c r="I44" s="466" t="s">
        <v>981</v>
      </c>
      <c r="L44" s="436" t="s">
        <v>512</v>
      </c>
      <c r="M44" s="466" t="s">
        <v>978</v>
      </c>
      <c r="N44" s="466" t="s">
        <v>979</v>
      </c>
      <c r="O44" s="466" t="s">
        <v>703</v>
      </c>
      <c r="P44" s="467">
        <v>150.21</v>
      </c>
      <c r="Q44" s="363">
        <v>1500</v>
      </c>
      <c r="R44" s="466" t="s">
        <v>980</v>
      </c>
      <c r="S44" s="466" t="s">
        <v>981</v>
      </c>
      <c r="V44" s="437" t="s">
        <v>512</v>
      </c>
      <c r="W44" s="438" t="s">
        <v>816</v>
      </c>
      <c r="X44" s="438" t="s">
        <v>817</v>
      </c>
      <c r="Y44" s="438" t="s">
        <v>718</v>
      </c>
      <c r="Z44" s="439">
        <v>23.53</v>
      </c>
      <c r="AA44" s="440">
        <v>125</v>
      </c>
      <c r="AB44" s="438">
        <v>54001031206</v>
      </c>
      <c r="AC44" s="438" t="s">
        <v>818</v>
      </c>
    </row>
    <row r="45" spans="1:29" ht="90" x14ac:dyDescent="0.2">
      <c r="A45" s="436">
        <v>34</v>
      </c>
      <c r="B45" s="436" t="s">
        <v>512</v>
      </c>
      <c r="C45" s="466" t="s">
        <v>780</v>
      </c>
      <c r="D45" s="466" t="s">
        <v>781</v>
      </c>
      <c r="E45" s="466" t="s">
        <v>703</v>
      </c>
      <c r="F45" s="467">
        <v>160.69999999999999</v>
      </c>
      <c r="G45" s="363">
        <v>875</v>
      </c>
      <c r="H45" s="466" t="s">
        <v>782</v>
      </c>
      <c r="I45" s="466" t="s">
        <v>783</v>
      </c>
      <c r="L45" s="436" t="s">
        <v>512</v>
      </c>
      <c r="M45" s="466" t="s">
        <v>780</v>
      </c>
      <c r="N45" s="466" t="s">
        <v>781</v>
      </c>
      <c r="O45" s="466" t="s">
        <v>703</v>
      </c>
      <c r="P45" s="467">
        <v>160.69999999999999</v>
      </c>
      <c r="Q45" s="363">
        <v>875</v>
      </c>
      <c r="R45" s="466" t="s">
        <v>782</v>
      </c>
      <c r="S45" s="466" t="s">
        <v>783</v>
      </c>
      <c r="V45" s="437" t="s">
        <v>512</v>
      </c>
      <c r="W45" s="438" t="s">
        <v>819</v>
      </c>
      <c r="X45" s="438" t="s">
        <v>820</v>
      </c>
      <c r="Y45" s="438" t="s">
        <v>718</v>
      </c>
      <c r="Z45" s="439">
        <v>20.73</v>
      </c>
      <c r="AA45" s="440">
        <v>93.75</v>
      </c>
      <c r="AB45" s="438" t="s">
        <v>821</v>
      </c>
      <c r="AC45" s="438" t="s">
        <v>822</v>
      </c>
    </row>
    <row r="46" spans="1:29" ht="165" x14ac:dyDescent="0.2">
      <c r="A46" s="436">
        <v>35</v>
      </c>
      <c r="B46" s="436" t="s">
        <v>512</v>
      </c>
      <c r="C46" s="466" t="s">
        <v>784</v>
      </c>
      <c r="D46" s="466" t="s">
        <v>785</v>
      </c>
      <c r="E46" s="466" t="s">
        <v>703</v>
      </c>
      <c r="F46" s="467">
        <v>65</v>
      </c>
      <c r="G46" s="363">
        <v>1000</v>
      </c>
      <c r="H46" s="466" t="s">
        <v>786</v>
      </c>
      <c r="I46" s="466" t="s">
        <v>787</v>
      </c>
      <c r="L46" s="436" t="s">
        <v>512</v>
      </c>
      <c r="M46" s="466" t="s">
        <v>784</v>
      </c>
      <c r="N46" s="466" t="s">
        <v>785</v>
      </c>
      <c r="O46" s="466" t="s">
        <v>703</v>
      </c>
      <c r="P46" s="467">
        <v>65</v>
      </c>
      <c r="Q46" s="363">
        <v>1000</v>
      </c>
      <c r="R46" s="466" t="s">
        <v>786</v>
      </c>
      <c r="S46" s="466" t="s">
        <v>787</v>
      </c>
      <c r="V46" s="437" t="s">
        <v>512</v>
      </c>
      <c r="W46" s="438" t="s">
        <v>823</v>
      </c>
      <c r="X46" s="438" t="s">
        <v>824</v>
      </c>
      <c r="Y46" s="438" t="s">
        <v>718</v>
      </c>
      <c r="Z46" s="439">
        <v>25.51</v>
      </c>
      <c r="AA46" s="440">
        <v>312.5</v>
      </c>
      <c r="AB46" s="438" t="s">
        <v>825</v>
      </c>
      <c r="AC46" s="438" t="s">
        <v>826</v>
      </c>
    </row>
    <row r="47" spans="1:29" ht="75" x14ac:dyDescent="0.2">
      <c r="A47" s="436">
        <v>36</v>
      </c>
      <c r="B47" s="436" t="s">
        <v>512</v>
      </c>
      <c r="C47" s="466" t="s">
        <v>982</v>
      </c>
      <c r="D47" s="466" t="s">
        <v>983</v>
      </c>
      <c r="E47" s="466" t="s">
        <v>703</v>
      </c>
      <c r="F47" s="467">
        <v>81.55</v>
      </c>
      <c r="G47" s="363">
        <v>500</v>
      </c>
      <c r="H47" s="466">
        <v>24001004130</v>
      </c>
      <c r="I47" s="466" t="s">
        <v>984</v>
      </c>
      <c r="L47" s="436" t="s">
        <v>512</v>
      </c>
      <c r="M47" s="466" t="s">
        <v>982</v>
      </c>
      <c r="N47" s="466" t="s">
        <v>983</v>
      </c>
      <c r="O47" s="466" t="s">
        <v>703</v>
      </c>
      <c r="P47" s="467">
        <v>81.55</v>
      </c>
      <c r="Q47" s="363">
        <v>500</v>
      </c>
      <c r="R47" s="466">
        <v>24001004130</v>
      </c>
      <c r="S47" s="466" t="s">
        <v>984</v>
      </c>
      <c r="V47" s="437" t="s">
        <v>512</v>
      </c>
      <c r="W47" s="438" t="s">
        <v>827</v>
      </c>
      <c r="X47" s="438" t="s">
        <v>828</v>
      </c>
      <c r="Y47" s="438" t="s">
        <v>718</v>
      </c>
      <c r="Z47" s="439">
        <v>33.93</v>
      </c>
      <c r="AA47" s="440">
        <v>156.25</v>
      </c>
      <c r="AB47" s="438">
        <v>26001002376</v>
      </c>
      <c r="AC47" s="438" t="s">
        <v>829</v>
      </c>
    </row>
    <row r="48" spans="1:29" ht="75" x14ac:dyDescent="0.2">
      <c r="A48" s="436">
        <v>37</v>
      </c>
      <c r="B48" s="436" t="s">
        <v>512</v>
      </c>
      <c r="C48" s="466" t="s">
        <v>985</v>
      </c>
      <c r="D48" s="466" t="s">
        <v>986</v>
      </c>
      <c r="E48" s="466" t="s">
        <v>703</v>
      </c>
      <c r="F48" s="467">
        <v>270</v>
      </c>
      <c r="G48" s="363">
        <v>2000</v>
      </c>
      <c r="H48" s="466" t="s">
        <v>987</v>
      </c>
      <c r="I48" s="466" t="s">
        <v>988</v>
      </c>
      <c r="L48" s="436" t="s">
        <v>512</v>
      </c>
      <c r="M48" s="466" t="s">
        <v>985</v>
      </c>
      <c r="N48" s="466" t="s">
        <v>986</v>
      </c>
      <c r="O48" s="466" t="s">
        <v>703</v>
      </c>
      <c r="P48" s="467">
        <v>270</v>
      </c>
      <c r="Q48" s="363">
        <v>2000</v>
      </c>
      <c r="R48" s="466" t="s">
        <v>987</v>
      </c>
      <c r="S48" s="466" t="s">
        <v>988</v>
      </c>
      <c r="V48" s="437" t="s">
        <v>512</v>
      </c>
      <c r="W48" s="438" t="s">
        <v>830</v>
      </c>
      <c r="X48" s="438" t="s">
        <v>831</v>
      </c>
      <c r="Y48" s="438" t="s">
        <v>718</v>
      </c>
      <c r="Z48" s="439">
        <v>22.5</v>
      </c>
      <c r="AA48" s="440">
        <v>109.38</v>
      </c>
      <c r="AB48" s="438" t="s">
        <v>832</v>
      </c>
      <c r="AC48" s="438" t="s">
        <v>833</v>
      </c>
    </row>
    <row r="49" spans="1:29" ht="60" x14ac:dyDescent="0.2">
      <c r="A49" s="436">
        <v>38</v>
      </c>
      <c r="B49" s="436" t="s">
        <v>512</v>
      </c>
      <c r="C49" s="466" t="s">
        <v>989</v>
      </c>
      <c r="D49" s="466" t="s">
        <v>990</v>
      </c>
      <c r="E49" s="466" t="s">
        <v>703</v>
      </c>
      <c r="F49" s="467">
        <v>73</v>
      </c>
      <c r="G49" s="363">
        <v>500</v>
      </c>
      <c r="H49" s="466" t="s">
        <v>991</v>
      </c>
      <c r="I49" s="466" t="s">
        <v>992</v>
      </c>
      <c r="L49" s="436" t="s">
        <v>512</v>
      </c>
      <c r="M49" s="466" t="s">
        <v>989</v>
      </c>
      <c r="N49" s="466" t="s">
        <v>990</v>
      </c>
      <c r="O49" s="466" t="s">
        <v>703</v>
      </c>
      <c r="P49" s="467">
        <v>73</v>
      </c>
      <c r="Q49" s="363">
        <v>500</v>
      </c>
      <c r="R49" s="466" t="s">
        <v>991</v>
      </c>
      <c r="S49" s="466" t="s">
        <v>992</v>
      </c>
      <c r="V49" s="497" t="s">
        <v>512</v>
      </c>
      <c r="W49" s="497" t="s">
        <v>834</v>
      </c>
      <c r="X49" s="497" t="s">
        <v>835</v>
      </c>
      <c r="Y49" s="438" t="s">
        <v>718</v>
      </c>
      <c r="Z49" s="439">
        <v>35.229999999999997</v>
      </c>
      <c r="AA49" s="440">
        <v>62.5</v>
      </c>
      <c r="AB49" s="438" t="s">
        <v>836</v>
      </c>
      <c r="AC49" s="438" t="s">
        <v>837</v>
      </c>
    </row>
    <row r="50" spans="1:29" ht="60" x14ac:dyDescent="0.2">
      <c r="A50" s="436">
        <v>39</v>
      </c>
      <c r="B50" s="436" t="s">
        <v>512</v>
      </c>
      <c r="C50" s="466" t="s">
        <v>993</v>
      </c>
      <c r="D50" s="466" t="s">
        <v>994</v>
      </c>
      <c r="E50" s="466" t="s">
        <v>703</v>
      </c>
      <c r="F50" s="467">
        <v>214.07</v>
      </c>
      <c r="G50" s="363">
        <v>1250</v>
      </c>
      <c r="H50" s="466" t="s">
        <v>995</v>
      </c>
      <c r="I50" s="466" t="s">
        <v>996</v>
      </c>
      <c r="L50" s="436" t="s">
        <v>512</v>
      </c>
      <c r="M50" s="466" t="s">
        <v>993</v>
      </c>
      <c r="N50" s="466" t="s">
        <v>994</v>
      </c>
      <c r="O50" s="466" t="s">
        <v>703</v>
      </c>
      <c r="P50" s="467">
        <v>214.07</v>
      </c>
      <c r="Q50" s="363">
        <v>1250</v>
      </c>
      <c r="R50" s="466" t="s">
        <v>995</v>
      </c>
      <c r="S50" s="466" t="s">
        <v>996</v>
      </c>
      <c r="V50" s="499"/>
      <c r="W50" s="499"/>
      <c r="X50" s="499"/>
      <c r="Y50" s="438" t="s">
        <v>718</v>
      </c>
      <c r="Z50" s="439"/>
      <c r="AA50" s="440">
        <v>62.5</v>
      </c>
      <c r="AB50" s="438">
        <v>62007000585</v>
      </c>
      <c r="AC50" s="438" t="s">
        <v>838</v>
      </c>
    </row>
    <row r="51" spans="1:29" ht="90" x14ac:dyDescent="0.2">
      <c r="A51" s="436">
        <v>40</v>
      </c>
      <c r="B51" s="436" t="s">
        <v>512</v>
      </c>
      <c r="C51" s="466" t="s">
        <v>997</v>
      </c>
      <c r="D51" s="466" t="s">
        <v>998</v>
      </c>
      <c r="E51" s="466" t="s">
        <v>703</v>
      </c>
      <c r="F51" s="467">
        <v>60</v>
      </c>
      <c r="G51" s="363">
        <v>800</v>
      </c>
      <c r="H51" s="466" t="s">
        <v>999</v>
      </c>
      <c r="I51" s="466" t="s">
        <v>1000</v>
      </c>
      <c r="L51" s="436" t="s">
        <v>512</v>
      </c>
      <c r="M51" s="466" t="s">
        <v>997</v>
      </c>
      <c r="N51" s="466" t="s">
        <v>998</v>
      </c>
      <c r="O51" s="466" t="s">
        <v>703</v>
      </c>
      <c r="P51" s="467">
        <v>60</v>
      </c>
      <c r="Q51" s="363">
        <v>800</v>
      </c>
      <c r="R51" s="466" t="s">
        <v>999</v>
      </c>
      <c r="S51" s="466" t="s">
        <v>1000</v>
      </c>
      <c r="V51" s="437" t="s">
        <v>512</v>
      </c>
      <c r="W51" s="438" t="s">
        <v>839</v>
      </c>
      <c r="X51" s="438" t="s">
        <v>840</v>
      </c>
      <c r="Y51" s="438" t="s">
        <v>718</v>
      </c>
      <c r="Z51" s="439">
        <v>15.25</v>
      </c>
      <c r="AA51" s="440">
        <v>250</v>
      </c>
      <c r="AB51" s="438" t="s">
        <v>841</v>
      </c>
      <c r="AC51" s="438" t="s">
        <v>842</v>
      </c>
    </row>
    <row r="52" spans="1:29" ht="90" x14ac:dyDescent="0.2">
      <c r="A52" s="436">
        <v>41</v>
      </c>
      <c r="B52" s="436" t="s">
        <v>512</v>
      </c>
      <c r="C52" s="466" t="s">
        <v>1001</v>
      </c>
      <c r="D52" s="466" t="s">
        <v>1002</v>
      </c>
      <c r="E52" s="466" t="s">
        <v>703</v>
      </c>
      <c r="F52" s="467">
        <v>110</v>
      </c>
      <c r="G52" s="363">
        <v>800</v>
      </c>
      <c r="H52" s="466">
        <v>47001000294</v>
      </c>
      <c r="I52" s="466" t="s">
        <v>1003</v>
      </c>
      <c r="L52" s="436" t="s">
        <v>512</v>
      </c>
      <c r="M52" s="466" t="s">
        <v>1001</v>
      </c>
      <c r="N52" s="466" t="s">
        <v>1002</v>
      </c>
      <c r="O52" s="466" t="s">
        <v>703</v>
      </c>
      <c r="P52" s="467">
        <v>110</v>
      </c>
      <c r="Q52" s="363">
        <v>800</v>
      </c>
      <c r="R52" s="466">
        <v>47001000294</v>
      </c>
      <c r="S52" s="466" t="s">
        <v>1003</v>
      </c>
      <c r="V52" s="437" t="s">
        <v>512</v>
      </c>
      <c r="W52" s="438" t="s">
        <v>843</v>
      </c>
      <c r="X52" s="438" t="s">
        <v>844</v>
      </c>
      <c r="Y52" s="438" t="s">
        <v>718</v>
      </c>
      <c r="Z52" s="439">
        <v>23.75</v>
      </c>
      <c r="AA52" s="440">
        <v>137.5</v>
      </c>
      <c r="AB52" s="438" t="s">
        <v>845</v>
      </c>
      <c r="AC52" s="438" t="s">
        <v>846</v>
      </c>
    </row>
    <row r="53" spans="1:29" ht="75" x14ac:dyDescent="0.2">
      <c r="A53" s="436">
        <v>42</v>
      </c>
      <c r="B53" s="436" t="s">
        <v>512</v>
      </c>
      <c r="C53" s="466" t="s">
        <v>1004</v>
      </c>
      <c r="D53" s="466" t="s">
        <v>1005</v>
      </c>
      <c r="E53" s="466" t="s">
        <v>703</v>
      </c>
      <c r="F53" s="467">
        <v>90</v>
      </c>
      <c r="G53" s="363">
        <v>625</v>
      </c>
      <c r="H53" s="466" t="s">
        <v>1006</v>
      </c>
      <c r="I53" s="466" t="s">
        <v>1007</v>
      </c>
      <c r="L53" s="436" t="s">
        <v>512</v>
      </c>
      <c r="M53" s="466" t="s">
        <v>1004</v>
      </c>
      <c r="N53" s="466" t="s">
        <v>1005</v>
      </c>
      <c r="O53" s="466" t="s">
        <v>703</v>
      </c>
      <c r="P53" s="467">
        <v>90</v>
      </c>
      <c r="Q53" s="363">
        <v>625</v>
      </c>
      <c r="R53" s="466" t="s">
        <v>1006</v>
      </c>
      <c r="S53" s="466" t="s">
        <v>1007</v>
      </c>
      <c r="V53" s="437" t="s">
        <v>512</v>
      </c>
      <c r="W53" s="438" t="s">
        <v>847</v>
      </c>
      <c r="X53" s="438" t="s">
        <v>848</v>
      </c>
      <c r="Y53" s="438" t="s">
        <v>718</v>
      </c>
      <c r="Z53" s="439">
        <v>59.33</v>
      </c>
      <c r="AA53" s="440">
        <v>820.46875</v>
      </c>
      <c r="AB53" s="438" t="s">
        <v>849</v>
      </c>
      <c r="AC53" s="438" t="s">
        <v>850</v>
      </c>
    </row>
    <row r="54" spans="1:29" ht="90" x14ac:dyDescent="0.2">
      <c r="A54" s="436">
        <v>43</v>
      </c>
      <c r="B54" s="436" t="s">
        <v>512</v>
      </c>
      <c r="C54" s="466" t="s">
        <v>1008</v>
      </c>
      <c r="D54" s="466" t="s">
        <v>1009</v>
      </c>
      <c r="E54" s="466" t="s">
        <v>703</v>
      </c>
      <c r="F54" s="467">
        <v>55</v>
      </c>
      <c r="G54" s="363">
        <v>400</v>
      </c>
      <c r="H54" s="466">
        <v>47001003904</v>
      </c>
      <c r="I54" s="466" t="s">
        <v>1010</v>
      </c>
      <c r="L54" s="436" t="s">
        <v>512</v>
      </c>
      <c r="M54" s="466" t="s">
        <v>1008</v>
      </c>
      <c r="N54" s="466" t="s">
        <v>1009</v>
      </c>
      <c r="O54" s="466" t="s">
        <v>703</v>
      </c>
      <c r="P54" s="467">
        <v>55</v>
      </c>
      <c r="Q54" s="363">
        <v>400</v>
      </c>
      <c r="R54" s="466">
        <v>47001003904</v>
      </c>
      <c r="S54" s="466" t="s">
        <v>1010</v>
      </c>
      <c r="V54" s="437" t="s">
        <v>512</v>
      </c>
      <c r="W54" s="438" t="s">
        <v>851</v>
      </c>
      <c r="X54" s="438" t="s">
        <v>852</v>
      </c>
      <c r="Y54" s="438" t="s">
        <v>718</v>
      </c>
      <c r="Z54" s="439">
        <v>11.5</v>
      </c>
      <c r="AA54" s="440">
        <v>125</v>
      </c>
      <c r="AB54" s="438" t="s">
        <v>853</v>
      </c>
      <c r="AC54" s="438" t="s">
        <v>854</v>
      </c>
    </row>
    <row r="55" spans="1:29" ht="75" x14ac:dyDescent="0.2">
      <c r="A55" s="436">
        <v>44</v>
      </c>
      <c r="B55" s="436" t="s">
        <v>512</v>
      </c>
      <c r="C55" s="466" t="s">
        <v>1011</v>
      </c>
      <c r="D55" s="466" t="s">
        <v>1012</v>
      </c>
      <c r="E55" s="466" t="s">
        <v>703</v>
      </c>
      <c r="F55" s="467">
        <v>91</v>
      </c>
      <c r="G55" s="363">
        <v>1250</v>
      </c>
      <c r="H55" s="466" t="s">
        <v>1013</v>
      </c>
      <c r="I55" s="466" t="s">
        <v>1014</v>
      </c>
      <c r="L55" s="436" t="s">
        <v>512</v>
      </c>
      <c r="M55" s="466" t="s">
        <v>1011</v>
      </c>
      <c r="N55" s="466" t="s">
        <v>1012</v>
      </c>
      <c r="O55" s="466" t="s">
        <v>703</v>
      </c>
      <c r="P55" s="467">
        <v>91</v>
      </c>
      <c r="Q55" s="363">
        <v>1250</v>
      </c>
      <c r="R55" s="466" t="s">
        <v>1013</v>
      </c>
      <c r="S55" s="466" t="s">
        <v>1014</v>
      </c>
      <c r="V55" s="437" t="s">
        <v>512</v>
      </c>
      <c r="W55" s="438" t="s">
        <v>855</v>
      </c>
      <c r="X55" s="438" t="s">
        <v>856</v>
      </c>
      <c r="Y55" s="438" t="s">
        <v>718</v>
      </c>
      <c r="Z55" s="439">
        <v>54.75</v>
      </c>
      <c r="AA55" s="440">
        <v>200</v>
      </c>
      <c r="AB55" s="438" t="s">
        <v>857</v>
      </c>
      <c r="AC55" s="438" t="s">
        <v>858</v>
      </c>
    </row>
    <row r="56" spans="1:29" ht="90" x14ac:dyDescent="0.2">
      <c r="A56" s="436">
        <v>45</v>
      </c>
      <c r="B56" s="436" t="s">
        <v>512</v>
      </c>
      <c r="C56" s="466" t="s">
        <v>1015</v>
      </c>
      <c r="D56" s="466" t="s">
        <v>1016</v>
      </c>
      <c r="E56" s="466" t="s">
        <v>703</v>
      </c>
      <c r="F56" s="467">
        <v>72</v>
      </c>
      <c r="G56" s="363">
        <v>1250</v>
      </c>
      <c r="H56" s="466" t="s">
        <v>1017</v>
      </c>
      <c r="I56" s="466" t="s">
        <v>1018</v>
      </c>
      <c r="L56" s="436" t="s">
        <v>512</v>
      </c>
      <c r="M56" s="466" t="s">
        <v>1015</v>
      </c>
      <c r="N56" s="466" t="s">
        <v>1016</v>
      </c>
      <c r="O56" s="466" t="s">
        <v>703</v>
      </c>
      <c r="P56" s="467">
        <v>72</v>
      </c>
      <c r="Q56" s="363">
        <v>1250</v>
      </c>
      <c r="R56" s="466" t="s">
        <v>1017</v>
      </c>
      <c r="S56" s="466" t="s">
        <v>1018</v>
      </c>
      <c r="V56" s="437" t="s">
        <v>512</v>
      </c>
      <c r="W56" s="438" t="s">
        <v>859</v>
      </c>
      <c r="X56" s="438" t="s">
        <v>860</v>
      </c>
      <c r="Y56" s="438" t="s">
        <v>718</v>
      </c>
      <c r="Z56" s="439">
        <v>26.75</v>
      </c>
      <c r="AA56" s="440">
        <v>250</v>
      </c>
      <c r="AB56" s="438">
        <v>62005023736</v>
      </c>
      <c r="AC56" s="438" t="s">
        <v>861</v>
      </c>
    </row>
    <row r="57" spans="1:29" ht="105" x14ac:dyDescent="0.2">
      <c r="A57" s="436">
        <v>46</v>
      </c>
      <c r="B57" s="436" t="s">
        <v>512</v>
      </c>
      <c r="C57" s="466" t="s">
        <v>1019</v>
      </c>
      <c r="D57" s="466" t="s">
        <v>1020</v>
      </c>
      <c r="E57" s="466" t="s">
        <v>703</v>
      </c>
      <c r="F57" s="467">
        <v>264.42</v>
      </c>
      <c r="G57" s="363">
        <v>600</v>
      </c>
      <c r="H57" s="466" t="s">
        <v>1021</v>
      </c>
      <c r="I57" s="466" t="s">
        <v>1022</v>
      </c>
      <c r="L57" s="436" t="s">
        <v>512</v>
      </c>
      <c r="M57" s="466" t="s">
        <v>1019</v>
      </c>
      <c r="N57" s="466" t="s">
        <v>1020</v>
      </c>
      <c r="O57" s="466" t="s">
        <v>703</v>
      </c>
      <c r="P57" s="467">
        <v>264.42</v>
      </c>
      <c r="Q57" s="363">
        <v>600</v>
      </c>
      <c r="R57" s="466" t="s">
        <v>1021</v>
      </c>
      <c r="S57" s="466" t="s">
        <v>1022</v>
      </c>
      <c r="V57" s="437" t="s">
        <v>512</v>
      </c>
      <c r="W57" s="438" t="s">
        <v>862</v>
      </c>
      <c r="X57" s="438" t="s">
        <v>863</v>
      </c>
      <c r="Y57" s="438" t="s">
        <v>718</v>
      </c>
      <c r="Z57" s="439">
        <v>141.05000000000001</v>
      </c>
      <c r="AA57" s="440">
        <v>625</v>
      </c>
      <c r="AB57" s="438" t="s">
        <v>675</v>
      </c>
      <c r="AC57" s="438" t="s">
        <v>674</v>
      </c>
    </row>
    <row r="58" spans="1:29" ht="105" x14ac:dyDescent="0.2">
      <c r="A58" s="436">
        <v>47</v>
      </c>
      <c r="B58" s="436" t="s">
        <v>512</v>
      </c>
      <c r="C58" s="466" t="s">
        <v>1023</v>
      </c>
      <c r="D58" s="466" t="s">
        <v>1024</v>
      </c>
      <c r="E58" s="466" t="s">
        <v>703</v>
      </c>
      <c r="F58" s="467">
        <v>650</v>
      </c>
      <c r="G58" s="363">
        <v>1875</v>
      </c>
      <c r="H58" s="466" t="s">
        <v>1025</v>
      </c>
      <c r="I58" s="466" t="s">
        <v>1026</v>
      </c>
      <c r="L58" s="436" t="s">
        <v>512</v>
      </c>
      <c r="M58" s="466" t="s">
        <v>1023</v>
      </c>
      <c r="N58" s="466" t="s">
        <v>1024</v>
      </c>
      <c r="O58" s="466" t="s">
        <v>703</v>
      </c>
      <c r="P58" s="467">
        <v>650</v>
      </c>
      <c r="Q58" s="363">
        <v>1875</v>
      </c>
      <c r="R58" s="466" t="s">
        <v>1025</v>
      </c>
      <c r="S58" s="466" t="s">
        <v>1026</v>
      </c>
      <c r="V58" s="437" t="s">
        <v>512</v>
      </c>
      <c r="W58" s="438" t="s">
        <v>864</v>
      </c>
      <c r="X58" s="438" t="s">
        <v>865</v>
      </c>
      <c r="Y58" s="438" t="s">
        <v>718</v>
      </c>
      <c r="Z58" s="439">
        <v>22.75</v>
      </c>
      <c r="AA58" s="440">
        <v>312.5</v>
      </c>
      <c r="AB58" s="438" t="s">
        <v>866</v>
      </c>
      <c r="AC58" s="438" t="s">
        <v>867</v>
      </c>
    </row>
    <row r="59" spans="1:29" ht="75" x14ac:dyDescent="0.2">
      <c r="A59" s="436">
        <v>48</v>
      </c>
      <c r="B59" s="436" t="s">
        <v>512</v>
      </c>
      <c r="C59" s="466" t="s">
        <v>788</v>
      </c>
      <c r="D59" s="466" t="s">
        <v>789</v>
      </c>
      <c r="E59" s="466" t="s">
        <v>703</v>
      </c>
      <c r="F59" s="467">
        <v>54</v>
      </c>
      <c r="G59" s="363">
        <v>313</v>
      </c>
      <c r="H59" s="466">
        <v>49001006224</v>
      </c>
      <c r="I59" s="466" t="s">
        <v>790</v>
      </c>
      <c r="L59" s="436" t="s">
        <v>512</v>
      </c>
      <c r="M59" s="466" t="s">
        <v>788</v>
      </c>
      <c r="N59" s="466" t="s">
        <v>789</v>
      </c>
      <c r="O59" s="466" t="s">
        <v>703</v>
      </c>
      <c r="P59" s="467">
        <v>54</v>
      </c>
      <c r="Q59" s="363">
        <v>313</v>
      </c>
      <c r="R59" s="466">
        <v>49001006224</v>
      </c>
      <c r="S59" s="466" t="s">
        <v>790</v>
      </c>
    </row>
    <row r="60" spans="1:29" ht="90" x14ac:dyDescent="0.2">
      <c r="A60" s="436">
        <v>49</v>
      </c>
      <c r="B60" s="436" t="s">
        <v>512</v>
      </c>
      <c r="C60" s="466" t="s">
        <v>1027</v>
      </c>
      <c r="D60" s="466" t="s">
        <v>1028</v>
      </c>
      <c r="E60" s="466" t="s">
        <v>703</v>
      </c>
      <c r="F60" s="467">
        <v>100.4</v>
      </c>
      <c r="G60" s="363">
        <v>625</v>
      </c>
      <c r="H60" s="466" t="s">
        <v>1029</v>
      </c>
      <c r="I60" s="466" t="s">
        <v>1030</v>
      </c>
      <c r="L60" s="436" t="s">
        <v>512</v>
      </c>
      <c r="M60" s="466" t="s">
        <v>1027</v>
      </c>
      <c r="N60" s="466" t="s">
        <v>1028</v>
      </c>
      <c r="O60" s="466" t="s">
        <v>703</v>
      </c>
      <c r="P60" s="467">
        <v>100.4</v>
      </c>
      <c r="Q60" s="363">
        <v>625</v>
      </c>
      <c r="R60" s="466" t="s">
        <v>1029</v>
      </c>
      <c r="S60" s="466" t="s">
        <v>1030</v>
      </c>
    </row>
    <row r="61" spans="1:29" ht="105" x14ac:dyDescent="0.2">
      <c r="A61" s="436">
        <v>50</v>
      </c>
      <c r="B61" s="436" t="s">
        <v>512</v>
      </c>
      <c r="C61" s="466" t="s">
        <v>1031</v>
      </c>
      <c r="D61" s="466" t="s">
        <v>1032</v>
      </c>
      <c r="E61" s="466" t="s">
        <v>703</v>
      </c>
      <c r="F61" s="467">
        <v>60.8</v>
      </c>
      <c r="G61" s="363">
        <v>375</v>
      </c>
      <c r="H61" s="466" t="s">
        <v>1033</v>
      </c>
      <c r="I61" s="466" t="s">
        <v>1034</v>
      </c>
      <c r="L61" s="436" t="s">
        <v>512</v>
      </c>
      <c r="M61" s="466" t="s">
        <v>1031</v>
      </c>
      <c r="N61" s="466" t="s">
        <v>1032</v>
      </c>
      <c r="O61" s="466" t="s">
        <v>703</v>
      </c>
      <c r="P61" s="467">
        <v>60.8</v>
      </c>
      <c r="Q61" s="363">
        <v>375</v>
      </c>
      <c r="R61" s="466" t="s">
        <v>1033</v>
      </c>
      <c r="S61" s="466" t="s">
        <v>1034</v>
      </c>
    </row>
    <row r="62" spans="1:29" ht="90" x14ac:dyDescent="0.2">
      <c r="A62" s="436">
        <v>51</v>
      </c>
      <c r="B62" s="436" t="s">
        <v>512</v>
      </c>
      <c r="C62" s="466" t="s">
        <v>1035</v>
      </c>
      <c r="D62" s="466" t="s">
        <v>1036</v>
      </c>
      <c r="E62" s="466" t="s">
        <v>695</v>
      </c>
      <c r="F62" s="467">
        <v>119.8</v>
      </c>
      <c r="G62" s="363">
        <v>800</v>
      </c>
      <c r="H62" s="466" t="s">
        <v>1037</v>
      </c>
      <c r="I62" s="466" t="s">
        <v>1038</v>
      </c>
      <c r="L62" s="436" t="s">
        <v>512</v>
      </c>
      <c r="M62" s="466" t="s">
        <v>1035</v>
      </c>
      <c r="N62" s="466" t="s">
        <v>1036</v>
      </c>
      <c r="O62" s="466" t="s">
        <v>695</v>
      </c>
      <c r="P62" s="467">
        <v>119.8</v>
      </c>
      <c r="Q62" s="363">
        <v>800</v>
      </c>
      <c r="R62" s="466" t="s">
        <v>1037</v>
      </c>
      <c r="S62" s="466" t="s">
        <v>1038</v>
      </c>
    </row>
    <row r="63" spans="1:29" ht="30" customHeight="1" x14ac:dyDescent="0.2">
      <c r="A63" s="436">
        <v>52</v>
      </c>
      <c r="B63" s="436" t="s">
        <v>512</v>
      </c>
      <c r="C63" s="466" t="s">
        <v>791</v>
      </c>
      <c r="D63" s="466" t="s">
        <v>792</v>
      </c>
      <c r="E63" s="466" t="s">
        <v>949</v>
      </c>
      <c r="F63" s="467">
        <v>121.8</v>
      </c>
      <c r="G63" s="363">
        <v>750</v>
      </c>
      <c r="H63" s="466">
        <v>21001006117</v>
      </c>
      <c r="I63" s="466" t="s">
        <v>1039</v>
      </c>
      <c r="L63" s="436" t="s">
        <v>512</v>
      </c>
      <c r="M63" s="466" t="s">
        <v>791</v>
      </c>
      <c r="N63" s="466" t="s">
        <v>792</v>
      </c>
      <c r="O63" s="466" t="s">
        <v>949</v>
      </c>
      <c r="P63" s="467">
        <v>121.8</v>
      </c>
      <c r="Q63" s="363">
        <v>750</v>
      </c>
      <c r="R63" s="466">
        <v>21001006117</v>
      </c>
      <c r="S63" s="466" t="s">
        <v>1039</v>
      </c>
    </row>
    <row r="64" spans="1:29" ht="75" x14ac:dyDescent="0.2">
      <c r="A64" s="436">
        <v>53</v>
      </c>
      <c r="B64" s="436" t="s">
        <v>512</v>
      </c>
      <c r="C64" s="466" t="s">
        <v>793</v>
      </c>
      <c r="D64" s="466" t="s">
        <v>794</v>
      </c>
      <c r="E64" s="466" t="s">
        <v>703</v>
      </c>
      <c r="F64" s="467">
        <v>136</v>
      </c>
      <c r="G64" s="363">
        <v>525</v>
      </c>
      <c r="H64" s="466">
        <v>38001047179</v>
      </c>
      <c r="I64" s="466" t="s">
        <v>795</v>
      </c>
      <c r="L64" s="436" t="s">
        <v>512</v>
      </c>
      <c r="M64" s="466" t="s">
        <v>793</v>
      </c>
      <c r="N64" s="466" t="s">
        <v>794</v>
      </c>
      <c r="O64" s="466" t="s">
        <v>703</v>
      </c>
      <c r="P64" s="467">
        <v>136</v>
      </c>
      <c r="Q64" s="363">
        <v>525</v>
      </c>
      <c r="R64" s="466">
        <v>38001047179</v>
      </c>
      <c r="S64" s="466" t="s">
        <v>795</v>
      </c>
    </row>
    <row r="65" spans="1:19" ht="90" x14ac:dyDescent="0.2">
      <c r="A65" s="436">
        <v>54</v>
      </c>
      <c r="B65" s="436" t="s">
        <v>512</v>
      </c>
      <c r="C65" s="466" t="s">
        <v>796</v>
      </c>
      <c r="D65" s="466" t="s">
        <v>797</v>
      </c>
      <c r="E65" s="466" t="s">
        <v>703</v>
      </c>
      <c r="F65" s="467">
        <v>184</v>
      </c>
      <c r="G65" s="363">
        <v>1800</v>
      </c>
      <c r="H65" s="466" t="s">
        <v>798</v>
      </c>
      <c r="I65" s="466" t="s">
        <v>799</v>
      </c>
      <c r="L65" s="436" t="s">
        <v>512</v>
      </c>
      <c r="M65" s="466" t="s">
        <v>796</v>
      </c>
      <c r="N65" s="466" t="s">
        <v>797</v>
      </c>
      <c r="O65" s="466" t="s">
        <v>703</v>
      </c>
      <c r="P65" s="467">
        <v>184</v>
      </c>
      <c r="Q65" s="363">
        <v>1800</v>
      </c>
      <c r="R65" s="466" t="s">
        <v>798</v>
      </c>
      <c r="S65" s="466" t="s">
        <v>799</v>
      </c>
    </row>
    <row r="66" spans="1:19" ht="90" x14ac:dyDescent="0.2">
      <c r="A66" s="436">
        <v>55</v>
      </c>
      <c r="B66" s="436" t="s">
        <v>512</v>
      </c>
      <c r="C66" s="466" t="s">
        <v>800</v>
      </c>
      <c r="D66" s="466" t="s">
        <v>801</v>
      </c>
      <c r="E66" s="466" t="s">
        <v>703</v>
      </c>
      <c r="F66" s="467">
        <v>70</v>
      </c>
      <c r="G66" s="363">
        <v>500</v>
      </c>
      <c r="H66" s="466">
        <v>225063123</v>
      </c>
      <c r="I66" s="466" t="s">
        <v>802</v>
      </c>
      <c r="L66" s="436" t="s">
        <v>512</v>
      </c>
      <c r="M66" s="466" t="s">
        <v>800</v>
      </c>
      <c r="N66" s="466" t="s">
        <v>801</v>
      </c>
      <c r="O66" s="466" t="s">
        <v>703</v>
      </c>
      <c r="P66" s="467">
        <v>70</v>
      </c>
      <c r="Q66" s="363">
        <v>500</v>
      </c>
      <c r="R66" s="466">
        <v>225063123</v>
      </c>
      <c r="S66" s="466" t="s">
        <v>802</v>
      </c>
    </row>
    <row r="67" spans="1:19" ht="60" x14ac:dyDescent="0.2">
      <c r="A67" s="436">
        <v>56</v>
      </c>
      <c r="B67" s="436" t="s">
        <v>512</v>
      </c>
      <c r="C67" s="466" t="s">
        <v>803</v>
      </c>
      <c r="D67" s="466" t="s">
        <v>804</v>
      </c>
      <c r="E67" s="466" t="s">
        <v>703</v>
      </c>
      <c r="F67" s="467">
        <v>90</v>
      </c>
      <c r="G67" s="363">
        <v>562.5</v>
      </c>
      <c r="H67" s="466" t="s">
        <v>805</v>
      </c>
      <c r="I67" s="466" t="s">
        <v>806</v>
      </c>
      <c r="L67" s="436" t="s">
        <v>512</v>
      </c>
      <c r="M67" s="466" t="s">
        <v>803</v>
      </c>
      <c r="N67" s="466" t="s">
        <v>804</v>
      </c>
      <c r="O67" s="466" t="s">
        <v>703</v>
      </c>
      <c r="P67" s="467">
        <v>90</v>
      </c>
      <c r="Q67" s="363">
        <v>562.5</v>
      </c>
      <c r="R67" s="466" t="s">
        <v>805</v>
      </c>
      <c r="S67" s="466" t="s">
        <v>806</v>
      </c>
    </row>
    <row r="68" spans="1:19" ht="90" x14ac:dyDescent="0.2">
      <c r="A68" s="436">
        <v>57</v>
      </c>
      <c r="B68" s="436" t="s">
        <v>512</v>
      </c>
      <c r="C68" s="466" t="s">
        <v>807</v>
      </c>
      <c r="D68" s="466" t="s">
        <v>808</v>
      </c>
      <c r="E68" s="466" t="s">
        <v>809</v>
      </c>
      <c r="F68" s="467">
        <v>93.9</v>
      </c>
      <c r="G68" s="363">
        <v>625</v>
      </c>
      <c r="H68" s="466" t="s">
        <v>810</v>
      </c>
      <c r="I68" s="466" t="s">
        <v>811</v>
      </c>
      <c r="L68" s="436" t="s">
        <v>512</v>
      </c>
      <c r="M68" s="466" t="s">
        <v>807</v>
      </c>
      <c r="N68" s="466" t="s">
        <v>808</v>
      </c>
      <c r="O68" s="466" t="s">
        <v>809</v>
      </c>
      <c r="P68" s="467">
        <v>93.9</v>
      </c>
      <c r="Q68" s="363">
        <v>625</v>
      </c>
      <c r="R68" s="466" t="s">
        <v>810</v>
      </c>
      <c r="S68" s="466" t="s">
        <v>811</v>
      </c>
    </row>
    <row r="69" spans="1:19" ht="60" x14ac:dyDescent="0.2">
      <c r="A69" s="436">
        <v>58</v>
      </c>
      <c r="B69" s="436" t="s">
        <v>512</v>
      </c>
      <c r="C69" s="466" t="s">
        <v>812</v>
      </c>
      <c r="D69" s="466" t="s">
        <v>813</v>
      </c>
      <c r="E69" s="466" t="s">
        <v>703</v>
      </c>
      <c r="F69" s="467">
        <v>99</v>
      </c>
      <c r="G69" s="363">
        <v>1000</v>
      </c>
      <c r="H69" s="466" t="s">
        <v>814</v>
      </c>
      <c r="I69" s="466" t="s">
        <v>815</v>
      </c>
      <c r="L69" s="436" t="s">
        <v>512</v>
      </c>
      <c r="M69" s="466" t="s">
        <v>812</v>
      </c>
      <c r="N69" s="466" t="s">
        <v>813</v>
      </c>
      <c r="O69" s="466" t="s">
        <v>703</v>
      </c>
      <c r="P69" s="467">
        <v>99</v>
      </c>
      <c r="Q69" s="363">
        <v>1000</v>
      </c>
      <c r="R69" s="466" t="s">
        <v>814</v>
      </c>
      <c r="S69" s="466" t="s">
        <v>815</v>
      </c>
    </row>
    <row r="70" spans="1:19" ht="90" x14ac:dyDescent="0.2">
      <c r="A70" s="436">
        <v>59</v>
      </c>
      <c r="B70" s="436" t="s">
        <v>512</v>
      </c>
      <c r="C70" s="466" t="s">
        <v>816</v>
      </c>
      <c r="D70" s="466" t="s">
        <v>817</v>
      </c>
      <c r="E70" s="466" t="s">
        <v>703</v>
      </c>
      <c r="F70" s="467">
        <v>94.1</v>
      </c>
      <c r="G70" s="363">
        <v>500</v>
      </c>
      <c r="H70" s="466">
        <v>54001031206</v>
      </c>
      <c r="I70" s="466" t="s">
        <v>818</v>
      </c>
      <c r="L70" s="436" t="s">
        <v>512</v>
      </c>
      <c r="M70" s="466" t="s">
        <v>816</v>
      </c>
      <c r="N70" s="466" t="s">
        <v>817</v>
      </c>
      <c r="O70" s="466" t="s">
        <v>703</v>
      </c>
      <c r="P70" s="467">
        <v>94.1</v>
      </c>
      <c r="Q70" s="363">
        <v>500</v>
      </c>
      <c r="R70" s="466">
        <v>54001031206</v>
      </c>
      <c r="S70" s="466" t="s">
        <v>818</v>
      </c>
    </row>
    <row r="71" spans="1:19" ht="90" x14ac:dyDescent="0.2">
      <c r="A71" s="436">
        <v>60</v>
      </c>
      <c r="B71" s="436" t="s">
        <v>512</v>
      </c>
      <c r="C71" s="466" t="s">
        <v>819</v>
      </c>
      <c r="D71" s="466" t="s">
        <v>820</v>
      </c>
      <c r="E71" s="466" t="s">
        <v>703</v>
      </c>
      <c r="F71" s="467">
        <v>82.9</v>
      </c>
      <c r="G71" s="363">
        <v>375</v>
      </c>
      <c r="H71" s="466" t="s">
        <v>821</v>
      </c>
      <c r="I71" s="466" t="s">
        <v>822</v>
      </c>
      <c r="L71" s="436" t="s">
        <v>512</v>
      </c>
      <c r="M71" s="466" t="s">
        <v>819</v>
      </c>
      <c r="N71" s="466" t="s">
        <v>820</v>
      </c>
      <c r="O71" s="466" t="s">
        <v>703</v>
      </c>
      <c r="P71" s="467">
        <v>82.9</v>
      </c>
      <c r="Q71" s="363">
        <v>375</v>
      </c>
      <c r="R71" s="466" t="s">
        <v>821</v>
      </c>
      <c r="S71" s="466" t="s">
        <v>822</v>
      </c>
    </row>
    <row r="72" spans="1:19" ht="75" x14ac:dyDescent="0.2">
      <c r="A72" s="436">
        <v>61</v>
      </c>
      <c r="B72" s="436" t="s">
        <v>512</v>
      </c>
      <c r="C72" s="466" t="s">
        <v>1040</v>
      </c>
      <c r="D72" s="466" t="s">
        <v>1041</v>
      </c>
      <c r="E72" s="466" t="s">
        <v>703</v>
      </c>
      <c r="F72" s="467">
        <v>90</v>
      </c>
      <c r="G72" s="363">
        <v>500</v>
      </c>
      <c r="H72" s="466">
        <v>53001007238</v>
      </c>
      <c r="I72" s="466" t="s">
        <v>1042</v>
      </c>
      <c r="L72" s="436" t="s">
        <v>512</v>
      </c>
      <c r="M72" s="466" t="s">
        <v>1040</v>
      </c>
      <c r="N72" s="466" t="s">
        <v>1041</v>
      </c>
      <c r="O72" s="466" t="s">
        <v>703</v>
      </c>
      <c r="P72" s="467">
        <v>90</v>
      </c>
      <c r="Q72" s="363">
        <v>500</v>
      </c>
      <c r="R72" s="466">
        <v>53001007238</v>
      </c>
      <c r="S72" s="466" t="s">
        <v>1042</v>
      </c>
    </row>
    <row r="73" spans="1:19" ht="165" x14ac:dyDescent="0.2">
      <c r="A73" s="436">
        <v>62</v>
      </c>
      <c r="B73" s="436" t="s">
        <v>512</v>
      </c>
      <c r="C73" s="466" t="s">
        <v>823</v>
      </c>
      <c r="D73" s="466" t="s">
        <v>824</v>
      </c>
      <c r="E73" s="466" t="s">
        <v>703</v>
      </c>
      <c r="F73" s="467">
        <v>102.03</v>
      </c>
      <c r="G73" s="363">
        <v>1250</v>
      </c>
      <c r="H73" s="466" t="s">
        <v>825</v>
      </c>
      <c r="I73" s="466" t="s">
        <v>826</v>
      </c>
      <c r="L73" s="436" t="s">
        <v>512</v>
      </c>
      <c r="M73" s="466" t="s">
        <v>823</v>
      </c>
      <c r="N73" s="466" t="s">
        <v>824</v>
      </c>
      <c r="O73" s="466" t="s">
        <v>703</v>
      </c>
      <c r="P73" s="467">
        <v>102.03</v>
      </c>
      <c r="Q73" s="363">
        <v>1250</v>
      </c>
      <c r="R73" s="466" t="s">
        <v>825</v>
      </c>
      <c r="S73" s="466" t="s">
        <v>826</v>
      </c>
    </row>
    <row r="74" spans="1:19" ht="75" x14ac:dyDescent="0.2">
      <c r="A74" s="436">
        <v>63</v>
      </c>
      <c r="B74" s="436" t="s">
        <v>512</v>
      </c>
      <c r="C74" s="466" t="s">
        <v>1043</v>
      </c>
      <c r="D74" s="466" t="s">
        <v>1044</v>
      </c>
      <c r="E74" s="466" t="s">
        <v>718</v>
      </c>
      <c r="F74" s="467">
        <v>80.3</v>
      </c>
      <c r="G74" s="363">
        <v>625</v>
      </c>
      <c r="H74" s="466">
        <v>33001022458</v>
      </c>
      <c r="I74" s="466" t="s">
        <v>1045</v>
      </c>
      <c r="L74" s="436" t="s">
        <v>512</v>
      </c>
      <c r="M74" s="466" t="s">
        <v>1043</v>
      </c>
      <c r="N74" s="466" t="s">
        <v>1044</v>
      </c>
      <c r="O74" s="466" t="s">
        <v>718</v>
      </c>
      <c r="P74" s="467">
        <v>80.3</v>
      </c>
      <c r="Q74" s="363">
        <v>625</v>
      </c>
      <c r="R74" s="466">
        <v>33001022458</v>
      </c>
      <c r="S74" s="466" t="s">
        <v>1045</v>
      </c>
    </row>
    <row r="75" spans="1:19" ht="75" x14ac:dyDescent="0.2">
      <c r="A75" s="436">
        <v>64</v>
      </c>
      <c r="B75" s="436" t="s">
        <v>512</v>
      </c>
      <c r="C75" s="466" t="s">
        <v>827</v>
      </c>
      <c r="D75" s="466" t="s">
        <v>828</v>
      </c>
      <c r="E75" s="466" t="s">
        <v>703</v>
      </c>
      <c r="F75" s="467">
        <v>135.69999999999999</v>
      </c>
      <c r="G75" s="363">
        <v>625</v>
      </c>
      <c r="H75" s="466">
        <v>26001002376</v>
      </c>
      <c r="I75" s="466" t="s">
        <v>829</v>
      </c>
      <c r="L75" s="436" t="s">
        <v>512</v>
      </c>
      <c r="M75" s="466" t="s">
        <v>827</v>
      </c>
      <c r="N75" s="466" t="s">
        <v>828</v>
      </c>
      <c r="O75" s="466" t="s">
        <v>703</v>
      </c>
      <c r="P75" s="467">
        <v>135.69999999999999</v>
      </c>
      <c r="Q75" s="363">
        <v>625</v>
      </c>
      <c r="R75" s="466">
        <v>26001002376</v>
      </c>
      <c r="S75" s="466" t="s">
        <v>829</v>
      </c>
    </row>
    <row r="76" spans="1:19" ht="75" x14ac:dyDescent="0.2">
      <c r="A76" s="436">
        <v>65</v>
      </c>
      <c r="B76" s="436" t="s">
        <v>512</v>
      </c>
      <c r="C76" s="466" t="s">
        <v>830</v>
      </c>
      <c r="D76" s="466" t="s">
        <v>831</v>
      </c>
      <c r="E76" s="466" t="s">
        <v>703</v>
      </c>
      <c r="F76" s="467">
        <v>90</v>
      </c>
      <c r="G76" s="363">
        <v>437.5</v>
      </c>
      <c r="H76" s="466" t="s">
        <v>832</v>
      </c>
      <c r="I76" s="466" t="s">
        <v>833</v>
      </c>
      <c r="L76" s="436" t="s">
        <v>512</v>
      </c>
      <c r="M76" s="466" t="s">
        <v>830</v>
      </c>
      <c r="N76" s="466" t="s">
        <v>831</v>
      </c>
      <c r="O76" s="466" t="s">
        <v>703</v>
      </c>
      <c r="P76" s="467">
        <v>90</v>
      </c>
      <c r="Q76" s="363">
        <v>437.5</v>
      </c>
      <c r="R76" s="466" t="s">
        <v>832</v>
      </c>
      <c r="S76" s="466" t="s">
        <v>833</v>
      </c>
    </row>
    <row r="77" spans="1:19" ht="45" x14ac:dyDescent="0.2">
      <c r="A77" s="494">
        <v>66</v>
      </c>
      <c r="B77" s="494" t="s">
        <v>512</v>
      </c>
      <c r="C77" s="504" t="s">
        <v>834</v>
      </c>
      <c r="D77" s="504" t="s">
        <v>835</v>
      </c>
      <c r="E77" s="504" t="s">
        <v>703</v>
      </c>
      <c r="F77" s="500">
        <v>140.9</v>
      </c>
      <c r="G77" s="363">
        <v>250</v>
      </c>
      <c r="H77" s="466" t="s">
        <v>836</v>
      </c>
      <c r="I77" s="466" t="s">
        <v>837</v>
      </c>
      <c r="L77" s="494" t="s">
        <v>512</v>
      </c>
      <c r="M77" s="504" t="s">
        <v>834</v>
      </c>
      <c r="N77" s="504" t="s">
        <v>835</v>
      </c>
      <c r="O77" s="504" t="s">
        <v>703</v>
      </c>
      <c r="P77" s="500">
        <v>140.9</v>
      </c>
      <c r="Q77" s="363">
        <v>250</v>
      </c>
      <c r="R77" s="466" t="s">
        <v>836</v>
      </c>
      <c r="S77" s="466" t="s">
        <v>837</v>
      </c>
    </row>
    <row r="78" spans="1:19" ht="30" x14ac:dyDescent="0.2">
      <c r="A78" s="496"/>
      <c r="B78" s="496"/>
      <c r="C78" s="505"/>
      <c r="D78" s="505"/>
      <c r="E78" s="505"/>
      <c r="F78" s="501"/>
      <c r="G78" s="363">
        <v>250</v>
      </c>
      <c r="H78" s="466">
        <v>62007000585</v>
      </c>
      <c r="I78" s="466" t="s">
        <v>838</v>
      </c>
      <c r="L78" s="496"/>
      <c r="M78" s="505"/>
      <c r="N78" s="505"/>
      <c r="O78" s="505"/>
      <c r="P78" s="501"/>
      <c r="Q78" s="363">
        <v>250</v>
      </c>
      <c r="R78" s="466">
        <v>62007000585</v>
      </c>
      <c r="S78" s="466" t="s">
        <v>838</v>
      </c>
    </row>
    <row r="79" spans="1:19" ht="135" x14ac:dyDescent="0.2">
      <c r="A79" s="436">
        <v>67</v>
      </c>
      <c r="B79" s="436" t="s">
        <v>512</v>
      </c>
      <c r="C79" s="466" t="s">
        <v>1046</v>
      </c>
      <c r="D79" s="466" t="s">
        <v>1047</v>
      </c>
      <c r="E79" s="466" t="s">
        <v>703</v>
      </c>
      <c r="F79" s="467">
        <v>106</v>
      </c>
      <c r="G79" s="363">
        <v>800</v>
      </c>
      <c r="H79" s="466" t="s">
        <v>1048</v>
      </c>
      <c r="I79" s="466" t="s">
        <v>1049</v>
      </c>
      <c r="L79" s="436" t="s">
        <v>512</v>
      </c>
      <c r="M79" s="466" t="s">
        <v>1046</v>
      </c>
      <c r="N79" s="466" t="s">
        <v>1047</v>
      </c>
      <c r="O79" s="466" t="s">
        <v>703</v>
      </c>
      <c r="P79" s="467">
        <v>106</v>
      </c>
      <c r="Q79" s="363">
        <v>800</v>
      </c>
      <c r="R79" s="466" t="s">
        <v>1048</v>
      </c>
      <c r="S79" s="466" t="s">
        <v>1049</v>
      </c>
    </row>
    <row r="80" spans="1:19" ht="75" x14ac:dyDescent="0.2">
      <c r="A80" s="436">
        <v>68</v>
      </c>
      <c r="B80" s="436" t="s">
        <v>512</v>
      </c>
      <c r="C80" s="466" t="s">
        <v>839</v>
      </c>
      <c r="D80" s="466" t="s">
        <v>840</v>
      </c>
      <c r="E80" s="466" t="s">
        <v>703</v>
      </c>
      <c r="F80" s="467">
        <v>61</v>
      </c>
      <c r="G80" s="363">
        <v>1000</v>
      </c>
      <c r="H80" s="466" t="s">
        <v>841</v>
      </c>
      <c r="I80" s="466" t="s">
        <v>842</v>
      </c>
      <c r="L80" s="436" t="s">
        <v>512</v>
      </c>
      <c r="M80" s="466" t="s">
        <v>839</v>
      </c>
      <c r="N80" s="466" t="s">
        <v>840</v>
      </c>
      <c r="O80" s="466" t="s">
        <v>703</v>
      </c>
      <c r="P80" s="467">
        <v>61</v>
      </c>
      <c r="Q80" s="363">
        <v>1000</v>
      </c>
      <c r="R80" s="466" t="s">
        <v>841</v>
      </c>
      <c r="S80" s="466" t="s">
        <v>842</v>
      </c>
    </row>
    <row r="81" spans="1:19" ht="45" x14ac:dyDescent="0.2">
      <c r="A81" s="436">
        <v>69</v>
      </c>
      <c r="B81" s="436" t="s">
        <v>512</v>
      </c>
      <c r="C81" s="466" t="s">
        <v>843</v>
      </c>
      <c r="D81" s="466" t="s">
        <v>844</v>
      </c>
      <c r="E81" s="466" t="s">
        <v>703</v>
      </c>
      <c r="F81" s="467">
        <v>95</v>
      </c>
      <c r="G81" s="363">
        <v>550</v>
      </c>
      <c r="H81" s="466" t="s">
        <v>845</v>
      </c>
      <c r="I81" s="466" t="s">
        <v>846</v>
      </c>
      <c r="L81" s="436" t="s">
        <v>512</v>
      </c>
      <c r="M81" s="466" t="s">
        <v>843</v>
      </c>
      <c r="N81" s="466" t="s">
        <v>844</v>
      </c>
      <c r="O81" s="466" t="s">
        <v>703</v>
      </c>
      <c r="P81" s="467">
        <v>95</v>
      </c>
      <c r="Q81" s="363">
        <v>550</v>
      </c>
      <c r="R81" s="466" t="s">
        <v>845</v>
      </c>
      <c r="S81" s="466" t="s">
        <v>846</v>
      </c>
    </row>
    <row r="82" spans="1:19" ht="75" x14ac:dyDescent="0.2">
      <c r="A82" s="436">
        <v>70</v>
      </c>
      <c r="B82" s="436" t="s">
        <v>512</v>
      </c>
      <c r="C82" s="466" t="s">
        <v>847</v>
      </c>
      <c r="D82" s="466" t="s">
        <v>848</v>
      </c>
      <c r="E82" s="466" t="s">
        <v>703</v>
      </c>
      <c r="F82" s="467">
        <v>237.3</v>
      </c>
      <c r="G82" s="363">
        <v>3080.88</v>
      </c>
      <c r="H82" s="466" t="s">
        <v>849</v>
      </c>
      <c r="I82" s="466" t="s">
        <v>850</v>
      </c>
      <c r="L82" s="436" t="s">
        <v>512</v>
      </c>
      <c r="M82" s="466" t="s">
        <v>847</v>
      </c>
      <c r="N82" s="466" t="s">
        <v>848</v>
      </c>
      <c r="O82" s="466" t="s">
        <v>703</v>
      </c>
      <c r="P82" s="467">
        <v>237.3</v>
      </c>
      <c r="Q82" s="363">
        <v>3080.88</v>
      </c>
      <c r="R82" s="466" t="s">
        <v>849</v>
      </c>
      <c r="S82" s="466" t="s">
        <v>850</v>
      </c>
    </row>
    <row r="83" spans="1:19" ht="75" x14ac:dyDescent="0.2">
      <c r="A83" s="436">
        <v>71</v>
      </c>
      <c r="B83" s="436" t="s">
        <v>512</v>
      </c>
      <c r="C83" s="466" t="s">
        <v>1050</v>
      </c>
      <c r="D83" s="466" t="s">
        <v>1051</v>
      </c>
      <c r="E83" s="466" t="s">
        <v>718</v>
      </c>
      <c r="F83" s="467">
        <v>110</v>
      </c>
      <c r="G83" s="363">
        <v>737.5</v>
      </c>
      <c r="H83" s="466" t="s">
        <v>1052</v>
      </c>
      <c r="I83" s="466" t="s">
        <v>1053</v>
      </c>
      <c r="L83" s="436" t="s">
        <v>512</v>
      </c>
      <c r="M83" s="466" t="s">
        <v>1050</v>
      </c>
      <c r="N83" s="466" t="s">
        <v>1051</v>
      </c>
      <c r="O83" s="466" t="s">
        <v>718</v>
      </c>
      <c r="P83" s="467">
        <v>110</v>
      </c>
      <c r="Q83" s="363">
        <v>737.5</v>
      </c>
      <c r="R83" s="466" t="s">
        <v>1052</v>
      </c>
      <c r="S83" s="466" t="s">
        <v>1053</v>
      </c>
    </row>
    <row r="84" spans="1:19" ht="90" x14ac:dyDescent="0.2">
      <c r="A84" s="436">
        <v>72</v>
      </c>
      <c r="B84" s="436" t="s">
        <v>512</v>
      </c>
      <c r="C84" s="466" t="s">
        <v>851</v>
      </c>
      <c r="D84" s="466" t="s">
        <v>852</v>
      </c>
      <c r="E84" s="466" t="s">
        <v>703</v>
      </c>
      <c r="F84" s="467">
        <v>46</v>
      </c>
      <c r="G84" s="363">
        <v>500</v>
      </c>
      <c r="H84" s="466" t="s">
        <v>853</v>
      </c>
      <c r="I84" s="466" t="s">
        <v>854</v>
      </c>
      <c r="L84" s="436" t="s">
        <v>512</v>
      </c>
      <c r="M84" s="466" t="s">
        <v>851</v>
      </c>
      <c r="N84" s="466" t="s">
        <v>852</v>
      </c>
      <c r="O84" s="466" t="s">
        <v>703</v>
      </c>
      <c r="P84" s="467">
        <v>46</v>
      </c>
      <c r="Q84" s="363">
        <v>500</v>
      </c>
      <c r="R84" s="466" t="s">
        <v>853</v>
      </c>
      <c r="S84" s="466" t="s">
        <v>854</v>
      </c>
    </row>
    <row r="85" spans="1:19" ht="75" x14ac:dyDescent="0.2">
      <c r="A85" s="436">
        <v>73</v>
      </c>
      <c r="B85" s="436" t="s">
        <v>512</v>
      </c>
      <c r="C85" s="466" t="s">
        <v>855</v>
      </c>
      <c r="D85" s="466" t="s">
        <v>856</v>
      </c>
      <c r="E85" s="466" t="s">
        <v>703</v>
      </c>
      <c r="F85" s="467">
        <v>219</v>
      </c>
      <c r="G85" s="363">
        <v>800</v>
      </c>
      <c r="H85" s="466" t="s">
        <v>857</v>
      </c>
      <c r="I85" s="466" t="s">
        <v>858</v>
      </c>
      <c r="L85" s="436" t="s">
        <v>512</v>
      </c>
      <c r="M85" s="466" t="s">
        <v>855</v>
      </c>
      <c r="N85" s="466" t="s">
        <v>856</v>
      </c>
      <c r="O85" s="466" t="s">
        <v>703</v>
      </c>
      <c r="P85" s="467">
        <v>219</v>
      </c>
      <c r="Q85" s="363">
        <v>800</v>
      </c>
      <c r="R85" s="466" t="s">
        <v>857</v>
      </c>
      <c r="S85" s="466" t="s">
        <v>858</v>
      </c>
    </row>
    <row r="86" spans="1:19" ht="75" x14ac:dyDescent="0.2">
      <c r="A86" s="436">
        <v>74</v>
      </c>
      <c r="B86" s="436" t="s">
        <v>512</v>
      </c>
      <c r="C86" s="466" t="s">
        <v>859</v>
      </c>
      <c r="D86" s="466" t="s">
        <v>860</v>
      </c>
      <c r="E86" s="466" t="s">
        <v>703</v>
      </c>
      <c r="F86" s="467">
        <v>107</v>
      </c>
      <c r="G86" s="363">
        <v>1000</v>
      </c>
      <c r="H86" s="466">
        <v>62005023736</v>
      </c>
      <c r="I86" s="466" t="s">
        <v>861</v>
      </c>
      <c r="L86" s="436" t="s">
        <v>512</v>
      </c>
      <c r="M86" s="466" t="s">
        <v>859</v>
      </c>
      <c r="N86" s="466" t="s">
        <v>860</v>
      </c>
      <c r="O86" s="466" t="s">
        <v>703</v>
      </c>
      <c r="P86" s="467">
        <v>107</v>
      </c>
      <c r="Q86" s="363">
        <v>1000</v>
      </c>
      <c r="R86" s="466">
        <v>62005023736</v>
      </c>
      <c r="S86" s="466" t="s">
        <v>861</v>
      </c>
    </row>
    <row r="87" spans="1:19" ht="105" x14ac:dyDescent="0.2">
      <c r="A87" s="436">
        <v>75</v>
      </c>
      <c r="B87" s="436" t="s">
        <v>512</v>
      </c>
      <c r="C87" s="466" t="s">
        <v>862</v>
      </c>
      <c r="D87" s="466" t="s">
        <v>863</v>
      </c>
      <c r="E87" s="466" t="s">
        <v>718</v>
      </c>
      <c r="F87" s="467">
        <v>280.8</v>
      </c>
      <c r="G87" s="363">
        <v>2000</v>
      </c>
      <c r="H87" s="466" t="s">
        <v>675</v>
      </c>
      <c r="I87" s="466" t="s">
        <v>674</v>
      </c>
      <c r="L87" s="436" t="s">
        <v>512</v>
      </c>
      <c r="M87" s="466" t="s">
        <v>862</v>
      </c>
      <c r="N87" s="466" t="s">
        <v>863</v>
      </c>
      <c r="O87" s="466" t="s">
        <v>718</v>
      </c>
      <c r="P87" s="467">
        <v>280.8</v>
      </c>
      <c r="Q87" s="363">
        <v>2000</v>
      </c>
      <c r="R87" s="466" t="s">
        <v>675</v>
      </c>
      <c r="S87" s="466" t="s">
        <v>674</v>
      </c>
    </row>
    <row r="88" spans="1:19" ht="45" x14ac:dyDescent="0.2">
      <c r="A88" s="436">
        <v>76</v>
      </c>
      <c r="B88" s="436" t="s">
        <v>512</v>
      </c>
      <c r="C88" s="466" t="s">
        <v>1054</v>
      </c>
      <c r="D88" s="466" t="s">
        <v>1055</v>
      </c>
      <c r="E88" s="466" t="s">
        <v>703</v>
      </c>
      <c r="F88" s="467">
        <v>161</v>
      </c>
      <c r="G88" s="363">
        <v>690</v>
      </c>
      <c r="H88" s="466">
        <v>61008000273</v>
      </c>
      <c r="I88" s="466" t="s">
        <v>1056</v>
      </c>
      <c r="L88" s="436" t="s">
        <v>512</v>
      </c>
      <c r="M88" s="466" t="s">
        <v>1054</v>
      </c>
      <c r="N88" s="466" t="s">
        <v>1055</v>
      </c>
      <c r="O88" s="466" t="s">
        <v>703</v>
      </c>
      <c r="P88" s="467">
        <v>161</v>
      </c>
      <c r="Q88" s="363">
        <v>690</v>
      </c>
      <c r="R88" s="466">
        <v>61008000273</v>
      </c>
      <c r="S88" s="466" t="s">
        <v>1056</v>
      </c>
    </row>
    <row r="89" spans="1:19" ht="105" x14ac:dyDescent="0.2">
      <c r="A89" s="436">
        <v>77</v>
      </c>
      <c r="B89" s="436" t="s">
        <v>512</v>
      </c>
      <c r="C89" s="466" t="s">
        <v>864</v>
      </c>
      <c r="D89" s="466" t="s">
        <v>865</v>
      </c>
      <c r="E89" s="466" t="s">
        <v>703</v>
      </c>
      <c r="F89" s="467">
        <v>91</v>
      </c>
      <c r="G89" s="363">
        <v>1250</v>
      </c>
      <c r="H89" s="466" t="s">
        <v>866</v>
      </c>
      <c r="I89" s="466" t="s">
        <v>867</v>
      </c>
      <c r="L89" s="436" t="s">
        <v>512</v>
      </c>
      <c r="M89" s="466" t="s">
        <v>864</v>
      </c>
      <c r="N89" s="466" t="s">
        <v>865</v>
      </c>
      <c r="O89" s="466" t="s">
        <v>703</v>
      </c>
      <c r="P89" s="467">
        <v>91</v>
      </c>
      <c r="Q89" s="363">
        <v>1250</v>
      </c>
      <c r="R89" s="466" t="s">
        <v>866</v>
      </c>
      <c r="S89" s="466" t="s">
        <v>867</v>
      </c>
    </row>
    <row r="90" spans="1:19" ht="90" x14ac:dyDescent="0.2">
      <c r="A90" s="436">
        <v>78</v>
      </c>
      <c r="B90" s="436" t="s">
        <v>512</v>
      </c>
      <c r="C90" s="466" t="s">
        <v>1057</v>
      </c>
      <c r="D90" s="466" t="s">
        <v>1058</v>
      </c>
      <c r="E90" s="466" t="s">
        <v>703</v>
      </c>
      <c r="F90" s="467">
        <v>120</v>
      </c>
      <c r="G90" s="363">
        <v>875</v>
      </c>
      <c r="H90" s="466" t="s">
        <v>1059</v>
      </c>
      <c r="I90" s="466" t="s">
        <v>1060</v>
      </c>
      <c r="L90" s="436" t="s">
        <v>512</v>
      </c>
      <c r="M90" s="466" t="s">
        <v>1057</v>
      </c>
      <c r="N90" s="466" t="s">
        <v>1058</v>
      </c>
      <c r="O90" s="466" t="s">
        <v>703</v>
      </c>
      <c r="P90" s="467">
        <v>120</v>
      </c>
      <c r="Q90" s="363">
        <v>875</v>
      </c>
      <c r="R90" s="466" t="s">
        <v>1059</v>
      </c>
      <c r="S90" s="466" t="s">
        <v>1060</v>
      </c>
    </row>
    <row r="91" spans="1:19" ht="105" x14ac:dyDescent="0.2">
      <c r="A91" s="436">
        <v>79</v>
      </c>
      <c r="B91" s="436" t="s">
        <v>512</v>
      </c>
      <c r="C91" s="466" t="s">
        <v>1061</v>
      </c>
      <c r="D91" s="466" t="s">
        <v>1062</v>
      </c>
      <c r="E91" s="466" t="s">
        <v>703</v>
      </c>
      <c r="F91" s="467">
        <v>76.36</v>
      </c>
      <c r="G91" s="363">
        <v>924.26</v>
      </c>
      <c r="H91" s="466" t="s">
        <v>1063</v>
      </c>
      <c r="I91" s="466" t="s">
        <v>1064</v>
      </c>
      <c r="L91" s="436" t="s">
        <v>512</v>
      </c>
      <c r="M91" s="466" t="s">
        <v>1061</v>
      </c>
      <c r="N91" s="466" t="s">
        <v>1062</v>
      </c>
      <c r="O91" s="466" t="s">
        <v>703</v>
      </c>
      <c r="P91" s="467">
        <v>76.36</v>
      </c>
      <c r="Q91" s="363">
        <v>924.26</v>
      </c>
      <c r="R91" s="466" t="s">
        <v>1063</v>
      </c>
      <c r="S91" s="466" t="s">
        <v>1064</v>
      </c>
    </row>
    <row r="92" spans="1:19" ht="75" x14ac:dyDescent="0.2">
      <c r="A92" s="436">
        <v>80</v>
      </c>
      <c r="B92" s="436" t="s">
        <v>512</v>
      </c>
      <c r="C92" s="466" t="s">
        <v>1065</v>
      </c>
      <c r="D92" s="466" t="s">
        <v>1066</v>
      </c>
      <c r="E92" s="466" t="s">
        <v>703</v>
      </c>
      <c r="F92" s="467">
        <v>112.5</v>
      </c>
      <c r="G92" s="363">
        <v>625</v>
      </c>
      <c r="H92" s="466">
        <v>61002004053</v>
      </c>
      <c r="I92" s="466" t="s">
        <v>1067</v>
      </c>
      <c r="L92" s="436" t="s">
        <v>512</v>
      </c>
      <c r="M92" s="466" t="s">
        <v>1065</v>
      </c>
      <c r="N92" s="466" t="s">
        <v>1066</v>
      </c>
      <c r="O92" s="466" t="s">
        <v>703</v>
      </c>
      <c r="P92" s="467">
        <v>112.5</v>
      </c>
      <c r="Q92" s="363">
        <v>625</v>
      </c>
      <c r="R92" s="466">
        <v>61002004053</v>
      </c>
      <c r="S92" s="466" t="s">
        <v>1067</v>
      </c>
    </row>
    <row r="93" spans="1:19" ht="90" x14ac:dyDescent="0.2">
      <c r="A93" s="436">
        <v>81</v>
      </c>
      <c r="B93" s="437" t="s">
        <v>512</v>
      </c>
      <c r="C93" s="438" t="s">
        <v>693</v>
      </c>
      <c r="D93" s="438" t="s">
        <v>694</v>
      </c>
      <c r="E93" s="438" t="s">
        <v>695</v>
      </c>
      <c r="F93" s="439">
        <v>380</v>
      </c>
      <c r="G93" s="440">
        <v>14965.35</v>
      </c>
      <c r="H93" s="438" t="s">
        <v>696</v>
      </c>
      <c r="I93" s="438" t="s">
        <v>697</v>
      </c>
      <c r="L93" s="436" t="s">
        <v>512</v>
      </c>
      <c r="M93" s="466" t="s">
        <v>1068</v>
      </c>
      <c r="N93" s="466" t="s">
        <v>1069</v>
      </c>
      <c r="O93" s="466" t="s">
        <v>910</v>
      </c>
      <c r="P93" s="467">
        <v>1600</v>
      </c>
      <c r="Q93" s="363">
        <v>1500</v>
      </c>
      <c r="R93" s="466">
        <v>204468664</v>
      </c>
      <c r="S93" s="466" t="s">
        <v>1070</v>
      </c>
    </row>
    <row r="94" spans="1:19" ht="30" x14ac:dyDescent="0.2">
      <c r="A94" s="436">
        <v>82</v>
      </c>
      <c r="B94" s="437" t="s">
        <v>512</v>
      </c>
      <c r="C94" s="438" t="s">
        <v>693</v>
      </c>
      <c r="D94" s="438" t="s">
        <v>698</v>
      </c>
      <c r="E94" s="438" t="s">
        <v>695</v>
      </c>
      <c r="F94" s="439">
        <v>100</v>
      </c>
      <c r="G94" s="440">
        <v>3938.2500000000005</v>
      </c>
      <c r="H94" s="438" t="s">
        <v>699</v>
      </c>
      <c r="I94" s="438" t="s">
        <v>700</v>
      </c>
      <c r="L94" s="436"/>
      <c r="M94" s="466"/>
      <c r="N94" s="466"/>
      <c r="O94" s="466"/>
      <c r="P94" s="467"/>
      <c r="Q94" s="363"/>
      <c r="R94" s="466"/>
      <c r="S94" s="466"/>
    </row>
    <row r="95" spans="1:19" ht="15" x14ac:dyDescent="0.2">
      <c r="A95" s="494">
        <v>83</v>
      </c>
      <c r="B95" s="497" t="s">
        <v>512</v>
      </c>
      <c r="C95" s="497" t="s">
        <v>701</v>
      </c>
      <c r="D95" s="497" t="s">
        <v>702</v>
      </c>
      <c r="E95" s="502" t="s">
        <v>703</v>
      </c>
      <c r="F95" s="511">
        <v>130</v>
      </c>
      <c r="G95" s="440">
        <v>4436.46</v>
      </c>
      <c r="H95" s="438" t="s">
        <v>704</v>
      </c>
      <c r="I95" s="438" t="s">
        <v>705</v>
      </c>
      <c r="L95" s="436"/>
      <c r="M95" s="466"/>
      <c r="N95" s="466"/>
      <c r="O95" s="466"/>
      <c r="P95" s="467"/>
      <c r="Q95" s="363"/>
      <c r="R95" s="466"/>
      <c r="S95" s="466"/>
    </row>
    <row r="96" spans="1:19" ht="15" x14ac:dyDescent="0.2">
      <c r="A96" s="496"/>
      <c r="B96" s="499"/>
      <c r="C96" s="499"/>
      <c r="D96" s="499"/>
      <c r="E96" s="503"/>
      <c r="F96" s="512"/>
      <c r="G96" s="440">
        <v>985.88</v>
      </c>
      <c r="H96" s="438" t="s">
        <v>706</v>
      </c>
      <c r="I96" s="438" t="s">
        <v>707</v>
      </c>
      <c r="L96" s="436"/>
      <c r="M96" s="466"/>
      <c r="N96" s="466"/>
      <c r="O96" s="466"/>
      <c r="P96" s="467"/>
      <c r="Q96" s="363"/>
      <c r="R96" s="466"/>
      <c r="S96" s="466"/>
    </row>
    <row r="97" spans="1:19" ht="30" x14ac:dyDescent="0.2">
      <c r="A97" s="436">
        <v>84</v>
      </c>
      <c r="B97" s="437" t="s">
        <v>512</v>
      </c>
      <c r="C97" s="438" t="s">
        <v>712</v>
      </c>
      <c r="D97" s="438" t="s">
        <v>713</v>
      </c>
      <c r="E97" s="438" t="s">
        <v>703</v>
      </c>
      <c r="F97" s="439">
        <v>304.43</v>
      </c>
      <c r="G97" s="440">
        <v>5126.58</v>
      </c>
      <c r="H97" s="438" t="s">
        <v>714</v>
      </c>
      <c r="I97" s="438" t="s">
        <v>715</v>
      </c>
      <c r="L97" s="436"/>
      <c r="M97" s="466"/>
      <c r="N97" s="466"/>
      <c r="O97" s="466"/>
      <c r="P97" s="467"/>
      <c r="Q97" s="363"/>
      <c r="R97" s="466"/>
      <c r="S97" s="466"/>
    </row>
    <row r="98" spans="1:19" ht="30" x14ac:dyDescent="0.2">
      <c r="A98" s="436">
        <v>85</v>
      </c>
      <c r="B98" s="437" t="s">
        <v>512</v>
      </c>
      <c r="C98" s="438" t="s">
        <v>788</v>
      </c>
      <c r="D98" s="438" t="s">
        <v>789</v>
      </c>
      <c r="E98" s="438" t="s">
        <v>703</v>
      </c>
      <c r="F98" s="439">
        <v>54</v>
      </c>
      <c r="G98" s="440">
        <v>313</v>
      </c>
      <c r="H98" s="438">
        <v>49001006224</v>
      </c>
      <c r="I98" s="438" t="s">
        <v>790</v>
      </c>
      <c r="L98" s="436"/>
      <c r="M98" s="466"/>
      <c r="N98" s="466"/>
      <c r="O98" s="466"/>
      <c r="P98" s="467"/>
      <c r="Q98" s="363"/>
      <c r="R98" s="466"/>
      <c r="S98" s="466"/>
    </row>
    <row r="99" spans="1:19" ht="30" x14ac:dyDescent="0.2">
      <c r="A99" s="436">
        <v>86</v>
      </c>
      <c r="B99" s="437" t="s">
        <v>512</v>
      </c>
      <c r="C99" s="438" t="s">
        <v>708</v>
      </c>
      <c r="D99" s="438" t="s">
        <v>709</v>
      </c>
      <c r="E99" s="438" t="s">
        <v>718</v>
      </c>
      <c r="F99" s="439">
        <v>28.2</v>
      </c>
      <c r="G99" s="440">
        <v>656.375</v>
      </c>
      <c r="H99" s="438" t="s">
        <v>710</v>
      </c>
      <c r="I99" s="438" t="s">
        <v>711</v>
      </c>
      <c r="L99" s="436"/>
      <c r="M99" s="466"/>
      <c r="N99" s="466"/>
      <c r="O99" s="466"/>
      <c r="P99" s="467"/>
      <c r="Q99" s="363"/>
      <c r="R99" s="466"/>
      <c r="S99" s="466"/>
    </row>
    <row r="100" spans="1:19" ht="60" x14ac:dyDescent="0.2">
      <c r="A100" s="436">
        <v>87</v>
      </c>
      <c r="B100" s="437" t="s">
        <v>512</v>
      </c>
      <c r="C100" s="438" t="s">
        <v>716</v>
      </c>
      <c r="D100" s="438" t="s">
        <v>717</v>
      </c>
      <c r="E100" s="438" t="s">
        <v>718</v>
      </c>
      <c r="F100" s="439">
        <v>45.82</v>
      </c>
      <c r="G100" s="440">
        <v>656.375</v>
      </c>
      <c r="H100" s="438" t="s">
        <v>869</v>
      </c>
      <c r="I100" s="438" t="s">
        <v>719</v>
      </c>
      <c r="L100" s="436"/>
      <c r="M100" s="466"/>
      <c r="N100" s="466"/>
      <c r="O100" s="466"/>
      <c r="P100" s="467"/>
      <c r="Q100" s="363"/>
      <c r="R100" s="466"/>
      <c r="S100" s="466"/>
    </row>
    <row r="101" spans="1:19" ht="30" x14ac:dyDescent="0.2">
      <c r="A101" s="436">
        <v>88</v>
      </c>
      <c r="B101" s="437" t="s">
        <v>512</v>
      </c>
      <c r="C101" s="438" t="s">
        <v>720</v>
      </c>
      <c r="D101" s="438" t="s">
        <v>721</v>
      </c>
      <c r="E101" s="438" t="s">
        <v>718</v>
      </c>
      <c r="F101" s="439">
        <v>44.75</v>
      </c>
      <c r="G101" s="440">
        <v>750</v>
      </c>
      <c r="H101" s="438" t="s">
        <v>722</v>
      </c>
      <c r="I101" s="438" t="s">
        <v>723</v>
      </c>
      <c r="L101" s="436"/>
      <c r="M101" s="466"/>
      <c r="N101" s="466"/>
      <c r="O101" s="466"/>
      <c r="P101" s="467"/>
      <c r="Q101" s="363"/>
      <c r="R101" s="466"/>
      <c r="S101" s="466"/>
    </row>
    <row r="102" spans="1:19" ht="30" x14ac:dyDescent="0.2">
      <c r="A102" s="494">
        <v>89</v>
      </c>
      <c r="B102" s="497" t="s">
        <v>512</v>
      </c>
      <c r="C102" s="497" t="s">
        <v>724</v>
      </c>
      <c r="D102" s="497" t="s">
        <v>725</v>
      </c>
      <c r="E102" s="438" t="s">
        <v>718</v>
      </c>
      <c r="F102" s="439">
        <v>82.96</v>
      </c>
      <c r="G102" s="440">
        <v>426.64375000000001</v>
      </c>
      <c r="H102" s="438" t="s">
        <v>726</v>
      </c>
      <c r="I102" s="438" t="s">
        <v>727</v>
      </c>
      <c r="L102" s="436"/>
      <c r="M102" s="466"/>
      <c r="N102" s="466"/>
      <c r="O102" s="466"/>
      <c r="P102" s="467"/>
      <c r="Q102" s="363"/>
      <c r="R102" s="466"/>
      <c r="S102" s="466"/>
    </row>
    <row r="103" spans="1:19" ht="30" x14ac:dyDescent="0.2">
      <c r="A103" s="496"/>
      <c r="B103" s="499"/>
      <c r="C103" s="499"/>
      <c r="D103" s="499"/>
      <c r="E103" s="438" t="s">
        <v>718</v>
      </c>
      <c r="F103" s="439"/>
      <c r="G103" s="440">
        <v>426.64375000000001</v>
      </c>
      <c r="H103" s="438" t="s">
        <v>728</v>
      </c>
      <c r="I103" s="438" t="s">
        <v>729</v>
      </c>
      <c r="L103" s="436"/>
      <c r="M103" s="466"/>
      <c r="N103" s="466"/>
      <c r="O103" s="466"/>
      <c r="P103" s="467"/>
      <c r="Q103" s="363"/>
      <c r="R103" s="466"/>
      <c r="S103" s="466"/>
    </row>
    <row r="104" spans="1:19" ht="30" x14ac:dyDescent="0.2">
      <c r="A104" s="436">
        <v>90</v>
      </c>
      <c r="B104" s="437" t="s">
        <v>512</v>
      </c>
      <c r="C104" s="438" t="s">
        <v>730</v>
      </c>
      <c r="D104" s="438" t="s">
        <v>731</v>
      </c>
      <c r="E104" s="438" t="s">
        <v>718</v>
      </c>
      <c r="F104" s="439">
        <v>51.26</v>
      </c>
      <c r="G104" s="440">
        <v>787.65000000000009</v>
      </c>
      <c r="H104" s="438" t="s">
        <v>732</v>
      </c>
      <c r="I104" s="438" t="s">
        <v>733</v>
      </c>
      <c r="L104" s="436"/>
      <c r="M104" s="466"/>
      <c r="N104" s="466"/>
      <c r="O104" s="466"/>
      <c r="P104" s="467"/>
      <c r="Q104" s="363"/>
      <c r="R104" s="466"/>
      <c r="S104" s="466"/>
    </row>
    <row r="105" spans="1:19" ht="45" x14ac:dyDescent="0.2">
      <c r="A105" s="436">
        <v>91</v>
      </c>
      <c r="B105" s="437" t="s">
        <v>512</v>
      </c>
      <c r="C105" s="438" t="s">
        <v>734</v>
      </c>
      <c r="D105" s="438" t="s">
        <v>735</v>
      </c>
      <c r="E105" s="438" t="s">
        <v>718</v>
      </c>
      <c r="F105" s="439">
        <v>40.549999999999997</v>
      </c>
      <c r="G105" s="440">
        <v>1230.703125</v>
      </c>
      <c r="H105" s="438" t="s">
        <v>736</v>
      </c>
      <c r="I105" s="438" t="s">
        <v>737</v>
      </c>
      <c r="L105" s="436"/>
      <c r="M105" s="466"/>
      <c r="N105" s="466"/>
      <c r="O105" s="466"/>
      <c r="P105" s="467"/>
      <c r="Q105" s="363"/>
      <c r="R105" s="466"/>
      <c r="S105" s="466"/>
    </row>
    <row r="106" spans="1:19" ht="30" x14ac:dyDescent="0.2">
      <c r="A106" s="436">
        <v>92</v>
      </c>
      <c r="B106" s="437" t="s">
        <v>512</v>
      </c>
      <c r="C106" s="438" t="s">
        <v>738</v>
      </c>
      <c r="D106" s="438" t="s">
        <v>739</v>
      </c>
      <c r="E106" s="438" t="s">
        <v>718</v>
      </c>
      <c r="F106" s="439">
        <v>31.7</v>
      </c>
      <c r="G106" s="440">
        <v>525.1</v>
      </c>
      <c r="H106" s="438" t="s">
        <v>740</v>
      </c>
      <c r="I106" s="438" t="s">
        <v>741</v>
      </c>
      <c r="L106" s="436"/>
      <c r="M106" s="466"/>
      <c r="N106" s="466"/>
      <c r="O106" s="466"/>
      <c r="P106" s="467"/>
      <c r="Q106" s="363"/>
      <c r="R106" s="466"/>
      <c r="S106" s="466"/>
    </row>
    <row r="107" spans="1:19" ht="30" x14ac:dyDescent="0.2">
      <c r="A107" s="436">
        <v>93</v>
      </c>
      <c r="B107" s="437" t="s">
        <v>512</v>
      </c>
      <c r="C107" s="438" t="s">
        <v>742</v>
      </c>
      <c r="D107" s="438" t="s">
        <v>743</v>
      </c>
      <c r="E107" s="438" t="s">
        <v>718</v>
      </c>
      <c r="F107" s="439">
        <v>34.700000000000003</v>
      </c>
      <c r="G107" s="440">
        <v>250</v>
      </c>
      <c r="H107" s="438">
        <v>36001011819</v>
      </c>
      <c r="I107" s="438" t="s">
        <v>744</v>
      </c>
      <c r="L107" s="436"/>
      <c r="M107" s="466"/>
      <c r="N107" s="466"/>
      <c r="O107" s="466"/>
      <c r="P107" s="467"/>
      <c r="Q107" s="363"/>
      <c r="R107" s="466"/>
      <c r="S107" s="466"/>
    </row>
    <row r="108" spans="1:19" ht="30" x14ac:dyDescent="0.2">
      <c r="A108" s="436">
        <v>94</v>
      </c>
      <c r="B108" s="437" t="s">
        <v>512</v>
      </c>
      <c r="C108" s="438" t="s">
        <v>745</v>
      </c>
      <c r="D108" s="438" t="s">
        <v>746</v>
      </c>
      <c r="E108" s="438" t="s">
        <v>718</v>
      </c>
      <c r="F108" s="439">
        <v>17.84</v>
      </c>
      <c r="G108" s="440">
        <v>187.5</v>
      </c>
      <c r="H108" s="438" t="s">
        <v>747</v>
      </c>
      <c r="I108" s="438" t="s">
        <v>748</v>
      </c>
      <c r="L108" s="436"/>
      <c r="M108" s="466"/>
      <c r="N108" s="466"/>
      <c r="O108" s="466"/>
      <c r="P108" s="467"/>
      <c r="Q108" s="363"/>
      <c r="R108" s="466"/>
      <c r="S108" s="466"/>
    </row>
    <row r="109" spans="1:19" ht="30" x14ac:dyDescent="0.2">
      <c r="A109" s="436">
        <v>95</v>
      </c>
      <c r="B109" s="437" t="s">
        <v>512</v>
      </c>
      <c r="C109" s="438" t="s">
        <v>749</v>
      </c>
      <c r="D109" s="438" t="s">
        <v>750</v>
      </c>
      <c r="E109" s="438" t="s">
        <v>718</v>
      </c>
      <c r="F109" s="439">
        <v>55.75</v>
      </c>
      <c r="G109" s="440">
        <v>156.25</v>
      </c>
      <c r="H109" s="438" t="s">
        <v>751</v>
      </c>
      <c r="I109" s="438" t="s">
        <v>752</v>
      </c>
      <c r="L109" s="436"/>
      <c r="M109" s="466"/>
      <c r="N109" s="466"/>
      <c r="O109" s="466"/>
      <c r="P109" s="467"/>
      <c r="Q109" s="363"/>
      <c r="R109" s="466"/>
      <c r="S109" s="466"/>
    </row>
    <row r="110" spans="1:19" ht="30" x14ac:dyDescent="0.2">
      <c r="A110" s="436">
        <v>96</v>
      </c>
      <c r="B110" s="437" t="s">
        <v>512</v>
      </c>
      <c r="C110" s="438" t="s">
        <v>758</v>
      </c>
      <c r="D110" s="438" t="s">
        <v>759</v>
      </c>
      <c r="E110" s="438" t="s">
        <v>718</v>
      </c>
      <c r="F110" s="439">
        <v>41.33</v>
      </c>
      <c r="G110" s="440">
        <v>164.09375</v>
      </c>
      <c r="H110" s="438">
        <v>25001000163</v>
      </c>
      <c r="I110" s="438" t="s">
        <v>760</v>
      </c>
      <c r="L110" s="436"/>
      <c r="M110" s="466"/>
      <c r="N110" s="466"/>
      <c r="O110" s="466"/>
      <c r="P110" s="467"/>
      <c r="Q110" s="363"/>
      <c r="R110" s="466"/>
      <c r="S110" s="466"/>
    </row>
    <row r="111" spans="1:19" ht="45" x14ac:dyDescent="0.2">
      <c r="A111" s="436">
        <v>97</v>
      </c>
      <c r="B111" s="437" t="s">
        <v>512</v>
      </c>
      <c r="C111" s="438" t="s">
        <v>870</v>
      </c>
      <c r="D111" s="438" t="s">
        <v>871</v>
      </c>
      <c r="E111" s="438" t="s">
        <v>718</v>
      </c>
      <c r="F111" s="439">
        <v>49.5</v>
      </c>
      <c r="G111" s="440">
        <v>225</v>
      </c>
      <c r="H111" s="438" t="s">
        <v>872</v>
      </c>
      <c r="I111" s="438" t="s">
        <v>873</v>
      </c>
      <c r="L111" s="436"/>
      <c r="M111" s="466"/>
      <c r="N111" s="466"/>
      <c r="O111" s="466"/>
      <c r="P111" s="467"/>
      <c r="Q111" s="363"/>
      <c r="R111" s="466"/>
      <c r="S111" s="466"/>
    </row>
    <row r="112" spans="1:19" ht="30" x14ac:dyDescent="0.2">
      <c r="A112" s="436">
        <v>98</v>
      </c>
      <c r="B112" s="437" t="s">
        <v>512</v>
      </c>
      <c r="C112" s="438" t="s">
        <v>761</v>
      </c>
      <c r="D112" s="438" t="s">
        <v>762</v>
      </c>
      <c r="E112" s="438" t="s">
        <v>718</v>
      </c>
      <c r="F112" s="439">
        <v>35</v>
      </c>
      <c r="G112" s="440">
        <v>175</v>
      </c>
      <c r="H112" s="438" t="s">
        <v>763</v>
      </c>
      <c r="I112" s="438" t="s">
        <v>764</v>
      </c>
      <c r="L112" s="436"/>
      <c r="M112" s="466"/>
      <c r="N112" s="466"/>
      <c r="O112" s="466"/>
      <c r="P112" s="467"/>
      <c r="Q112" s="363"/>
      <c r="R112" s="466"/>
      <c r="S112" s="466"/>
    </row>
    <row r="113" spans="1:19" ht="30" x14ac:dyDescent="0.2">
      <c r="A113" s="436">
        <v>99</v>
      </c>
      <c r="B113" s="437" t="s">
        <v>512</v>
      </c>
      <c r="C113" s="438" t="s">
        <v>765</v>
      </c>
      <c r="D113" s="438" t="s">
        <v>766</v>
      </c>
      <c r="E113" s="438" t="s">
        <v>718</v>
      </c>
      <c r="F113" s="439">
        <v>16.07</v>
      </c>
      <c r="G113" s="440">
        <v>250</v>
      </c>
      <c r="H113" s="438" t="s">
        <v>767</v>
      </c>
      <c r="I113" s="438" t="s">
        <v>768</v>
      </c>
      <c r="L113" s="436"/>
      <c r="M113" s="466"/>
      <c r="N113" s="466"/>
      <c r="O113" s="466"/>
      <c r="P113" s="467"/>
      <c r="Q113" s="363"/>
      <c r="R113" s="466"/>
      <c r="S113" s="466"/>
    </row>
    <row r="114" spans="1:19" ht="30" x14ac:dyDescent="0.2">
      <c r="A114" s="436">
        <v>100</v>
      </c>
      <c r="B114" s="437" t="s">
        <v>512</v>
      </c>
      <c r="C114" s="438" t="s">
        <v>769</v>
      </c>
      <c r="D114" s="438" t="s">
        <v>770</v>
      </c>
      <c r="E114" s="438" t="s">
        <v>718</v>
      </c>
      <c r="F114" s="439">
        <v>45</v>
      </c>
      <c r="G114" s="440">
        <v>140.63</v>
      </c>
      <c r="H114" s="438" t="s">
        <v>771</v>
      </c>
      <c r="I114" s="438" t="s">
        <v>772</v>
      </c>
      <c r="L114" s="436"/>
      <c r="M114" s="466"/>
      <c r="N114" s="466"/>
      <c r="O114" s="466"/>
      <c r="P114" s="467"/>
      <c r="Q114" s="363"/>
      <c r="R114" s="466"/>
      <c r="S114" s="466"/>
    </row>
    <row r="115" spans="1:19" ht="30" x14ac:dyDescent="0.2">
      <c r="A115" s="436">
        <v>101</v>
      </c>
      <c r="B115" s="437" t="s">
        <v>512</v>
      </c>
      <c r="C115" s="438" t="s">
        <v>773</v>
      </c>
      <c r="D115" s="438" t="s">
        <v>774</v>
      </c>
      <c r="E115" s="438" t="s">
        <v>718</v>
      </c>
      <c r="F115" s="439">
        <v>33.75</v>
      </c>
      <c r="G115" s="440">
        <v>187.5</v>
      </c>
      <c r="H115" s="438" t="s">
        <v>775</v>
      </c>
      <c r="I115" s="438" t="s">
        <v>776</v>
      </c>
      <c r="L115" s="436"/>
      <c r="M115" s="466"/>
      <c r="N115" s="466"/>
      <c r="O115" s="466"/>
      <c r="P115" s="467"/>
      <c r="Q115" s="363"/>
      <c r="R115" s="466"/>
      <c r="S115" s="466"/>
    </row>
    <row r="116" spans="1:19" ht="30" x14ac:dyDescent="0.2">
      <c r="A116" s="436">
        <v>102</v>
      </c>
      <c r="B116" s="437" t="s">
        <v>512</v>
      </c>
      <c r="C116" s="438" t="s">
        <v>874</v>
      </c>
      <c r="D116" s="438" t="s">
        <v>875</v>
      </c>
      <c r="E116" s="438" t="s">
        <v>718</v>
      </c>
      <c r="F116" s="439">
        <v>61.76</v>
      </c>
      <c r="G116" s="440">
        <v>312.5</v>
      </c>
      <c r="H116" s="438" t="s">
        <v>876</v>
      </c>
      <c r="I116" s="438" t="s">
        <v>877</v>
      </c>
      <c r="L116" s="436"/>
      <c r="M116" s="466"/>
      <c r="N116" s="466"/>
      <c r="O116" s="466"/>
      <c r="P116" s="467"/>
      <c r="Q116" s="363"/>
      <c r="R116" s="466"/>
      <c r="S116" s="466"/>
    </row>
    <row r="117" spans="1:19" ht="30" x14ac:dyDescent="0.2">
      <c r="A117" s="436">
        <v>103</v>
      </c>
      <c r="B117" s="437" t="s">
        <v>512</v>
      </c>
      <c r="C117" s="438" t="s">
        <v>777</v>
      </c>
      <c r="D117" s="438" t="s">
        <v>778</v>
      </c>
      <c r="E117" s="438" t="s">
        <v>718</v>
      </c>
      <c r="F117" s="439">
        <v>10.31</v>
      </c>
      <c r="G117" s="440">
        <v>218.75</v>
      </c>
      <c r="H117" s="438">
        <v>60001129329</v>
      </c>
      <c r="I117" s="438" t="s">
        <v>779</v>
      </c>
      <c r="L117" s="436"/>
      <c r="M117" s="466"/>
      <c r="N117" s="466"/>
      <c r="O117" s="466"/>
      <c r="P117" s="467"/>
      <c r="Q117" s="363"/>
      <c r="R117" s="466"/>
      <c r="S117" s="466"/>
    </row>
    <row r="118" spans="1:19" ht="30" x14ac:dyDescent="0.2">
      <c r="A118" s="436">
        <v>104</v>
      </c>
      <c r="B118" s="437" t="s">
        <v>512</v>
      </c>
      <c r="C118" s="438" t="s">
        <v>780</v>
      </c>
      <c r="D118" s="438" t="s">
        <v>781</v>
      </c>
      <c r="E118" s="438" t="s">
        <v>718</v>
      </c>
      <c r="F118" s="439">
        <v>40.18</v>
      </c>
      <c r="G118" s="440">
        <v>218.75</v>
      </c>
      <c r="H118" s="438" t="s">
        <v>782</v>
      </c>
      <c r="I118" s="438" t="s">
        <v>783</v>
      </c>
      <c r="L118" s="436"/>
      <c r="M118" s="466"/>
      <c r="N118" s="466"/>
      <c r="O118" s="466"/>
      <c r="P118" s="467"/>
      <c r="Q118" s="363"/>
      <c r="R118" s="466"/>
      <c r="S118" s="466"/>
    </row>
    <row r="119" spans="1:19" ht="30" x14ac:dyDescent="0.2">
      <c r="A119" s="436">
        <v>105</v>
      </c>
      <c r="B119" s="437" t="s">
        <v>512</v>
      </c>
      <c r="C119" s="438" t="s">
        <v>784</v>
      </c>
      <c r="D119" s="438" t="s">
        <v>785</v>
      </c>
      <c r="E119" s="438" t="s">
        <v>718</v>
      </c>
      <c r="F119" s="439">
        <v>16.25</v>
      </c>
      <c r="G119" s="440">
        <v>250</v>
      </c>
      <c r="H119" s="438" t="s">
        <v>786</v>
      </c>
      <c r="I119" s="438" t="s">
        <v>787</v>
      </c>
      <c r="L119" s="436"/>
      <c r="M119" s="466"/>
      <c r="N119" s="466"/>
      <c r="O119" s="466"/>
      <c r="P119" s="467"/>
      <c r="Q119" s="363"/>
      <c r="R119" s="466"/>
      <c r="S119" s="466"/>
    </row>
    <row r="120" spans="1:19" ht="30" x14ac:dyDescent="0.2">
      <c r="A120" s="436">
        <v>106</v>
      </c>
      <c r="B120" s="437" t="s">
        <v>512</v>
      </c>
      <c r="C120" s="438" t="s">
        <v>791</v>
      </c>
      <c r="D120" s="438" t="s">
        <v>792</v>
      </c>
      <c r="E120" s="438" t="s">
        <v>718</v>
      </c>
      <c r="F120" s="439">
        <v>30.45</v>
      </c>
      <c r="G120" s="440">
        <v>187.5</v>
      </c>
      <c r="H120" s="438" t="s">
        <v>878</v>
      </c>
      <c r="I120" s="438" t="s">
        <v>879</v>
      </c>
      <c r="L120" s="436"/>
      <c r="M120" s="466"/>
      <c r="N120" s="466"/>
      <c r="O120" s="466"/>
      <c r="P120" s="467"/>
      <c r="Q120" s="363"/>
      <c r="R120" s="466"/>
      <c r="S120" s="466"/>
    </row>
    <row r="121" spans="1:19" ht="30" x14ac:dyDescent="0.2">
      <c r="A121" s="436">
        <v>107</v>
      </c>
      <c r="B121" s="437" t="s">
        <v>512</v>
      </c>
      <c r="C121" s="438" t="s">
        <v>793</v>
      </c>
      <c r="D121" s="438" t="s">
        <v>794</v>
      </c>
      <c r="E121" s="438" t="s">
        <v>718</v>
      </c>
      <c r="F121" s="439">
        <v>34</v>
      </c>
      <c r="G121" s="440">
        <v>131.25</v>
      </c>
      <c r="H121" s="438">
        <v>38001047179</v>
      </c>
      <c r="I121" s="438" t="s">
        <v>795</v>
      </c>
      <c r="L121" s="436"/>
      <c r="M121" s="466"/>
      <c r="N121" s="466"/>
      <c r="O121" s="466"/>
      <c r="P121" s="467"/>
      <c r="Q121" s="363"/>
      <c r="R121" s="466"/>
      <c r="S121" s="466"/>
    </row>
    <row r="122" spans="1:19" ht="30" x14ac:dyDescent="0.2">
      <c r="A122" s="436">
        <v>108</v>
      </c>
      <c r="B122" s="437" t="s">
        <v>512</v>
      </c>
      <c r="C122" s="438" t="s">
        <v>796</v>
      </c>
      <c r="D122" s="438" t="s">
        <v>797</v>
      </c>
      <c r="E122" s="438" t="s">
        <v>718</v>
      </c>
      <c r="F122" s="439">
        <v>46</v>
      </c>
      <c r="G122" s="440">
        <v>450</v>
      </c>
      <c r="H122" s="438" t="s">
        <v>798</v>
      </c>
      <c r="I122" s="438" t="s">
        <v>799</v>
      </c>
      <c r="L122" s="436"/>
      <c r="M122" s="466"/>
      <c r="N122" s="466"/>
      <c r="O122" s="466"/>
      <c r="P122" s="467"/>
      <c r="Q122" s="363"/>
      <c r="R122" s="466"/>
      <c r="S122" s="466"/>
    </row>
    <row r="123" spans="1:19" ht="30" x14ac:dyDescent="0.2">
      <c r="A123" s="436">
        <v>109</v>
      </c>
      <c r="B123" s="437" t="s">
        <v>512</v>
      </c>
      <c r="C123" s="438" t="s">
        <v>800</v>
      </c>
      <c r="D123" s="438" t="s">
        <v>801</v>
      </c>
      <c r="E123" s="438" t="s">
        <v>718</v>
      </c>
      <c r="F123" s="439">
        <v>32.5</v>
      </c>
      <c r="G123" s="440">
        <v>187.5</v>
      </c>
      <c r="H123" s="438">
        <v>225063123</v>
      </c>
      <c r="I123" s="438" t="s">
        <v>802</v>
      </c>
      <c r="L123" s="436"/>
      <c r="M123" s="466"/>
      <c r="N123" s="466"/>
      <c r="O123" s="466"/>
      <c r="P123" s="467"/>
      <c r="Q123" s="363"/>
      <c r="R123" s="466"/>
      <c r="S123" s="466"/>
    </row>
    <row r="124" spans="1:19" ht="30" x14ac:dyDescent="0.2">
      <c r="A124" s="436">
        <v>110</v>
      </c>
      <c r="B124" s="437" t="s">
        <v>512</v>
      </c>
      <c r="C124" s="438" t="s">
        <v>803</v>
      </c>
      <c r="D124" s="438" t="s">
        <v>804</v>
      </c>
      <c r="E124" s="438" t="s">
        <v>718</v>
      </c>
      <c r="F124" s="439">
        <v>22.5</v>
      </c>
      <c r="G124" s="440">
        <v>140.63</v>
      </c>
      <c r="H124" s="438" t="s">
        <v>805</v>
      </c>
      <c r="I124" s="438" t="s">
        <v>806</v>
      </c>
      <c r="L124" s="436"/>
      <c r="M124" s="466"/>
      <c r="N124" s="466"/>
      <c r="O124" s="466"/>
      <c r="P124" s="467"/>
      <c r="Q124" s="363"/>
      <c r="R124" s="466"/>
      <c r="S124" s="466"/>
    </row>
    <row r="125" spans="1:19" ht="30" x14ac:dyDescent="0.2">
      <c r="A125" s="436">
        <v>111</v>
      </c>
      <c r="B125" s="437" t="s">
        <v>512</v>
      </c>
      <c r="C125" s="438" t="s">
        <v>812</v>
      </c>
      <c r="D125" s="438" t="s">
        <v>813</v>
      </c>
      <c r="E125" s="438" t="s">
        <v>718</v>
      </c>
      <c r="F125" s="439">
        <v>24.75</v>
      </c>
      <c r="G125" s="440">
        <v>250</v>
      </c>
      <c r="H125" s="438" t="s">
        <v>814</v>
      </c>
      <c r="I125" s="438" t="s">
        <v>815</v>
      </c>
      <c r="L125" s="436"/>
      <c r="M125" s="466"/>
      <c r="N125" s="466"/>
      <c r="O125" s="466"/>
      <c r="P125" s="467"/>
      <c r="Q125" s="363"/>
      <c r="R125" s="466"/>
      <c r="S125" s="466"/>
    </row>
    <row r="126" spans="1:19" ht="30" x14ac:dyDescent="0.2">
      <c r="A126" s="436">
        <v>112</v>
      </c>
      <c r="B126" s="437" t="s">
        <v>512</v>
      </c>
      <c r="C126" s="438" t="s">
        <v>816</v>
      </c>
      <c r="D126" s="438" t="s">
        <v>817</v>
      </c>
      <c r="E126" s="438" t="s">
        <v>718</v>
      </c>
      <c r="F126" s="439">
        <v>23.53</v>
      </c>
      <c r="G126" s="440">
        <v>125</v>
      </c>
      <c r="H126" s="438">
        <v>54001031206</v>
      </c>
      <c r="I126" s="438" t="s">
        <v>818</v>
      </c>
      <c r="L126" s="436"/>
      <c r="M126" s="466"/>
      <c r="N126" s="466"/>
      <c r="O126" s="466"/>
      <c r="P126" s="467"/>
      <c r="Q126" s="363"/>
      <c r="R126" s="466"/>
      <c r="S126" s="466"/>
    </row>
    <row r="127" spans="1:19" ht="30" x14ac:dyDescent="0.2">
      <c r="A127" s="436">
        <v>113</v>
      </c>
      <c r="B127" s="437" t="s">
        <v>512</v>
      </c>
      <c r="C127" s="438" t="s">
        <v>819</v>
      </c>
      <c r="D127" s="438" t="s">
        <v>820</v>
      </c>
      <c r="E127" s="438" t="s">
        <v>718</v>
      </c>
      <c r="F127" s="439">
        <v>20.73</v>
      </c>
      <c r="G127" s="440">
        <v>93.75</v>
      </c>
      <c r="H127" s="438" t="s">
        <v>821</v>
      </c>
      <c r="I127" s="438" t="s">
        <v>822</v>
      </c>
      <c r="L127" s="436"/>
      <c r="M127" s="466"/>
      <c r="N127" s="466"/>
      <c r="O127" s="466"/>
      <c r="P127" s="467"/>
      <c r="Q127" s="363"/>
      <c r="R127" s="466"/>
      <c r="S127" s="466"/>
    </row>
    <row r="128" spans="1:19" ht="45" x14ac:dyDescent="0.2">
      <c r="A128" s="436">
        <v>114</v>
      </c>
      <c r="B128" s="437" t="s">
        <v>512</v>
      </c>
      <c r="C128" s="438" t="s">
        <v>823</v>
      </c>
      <c r="D128" s="438" t="s">
        <v>824</v>
      </c>
      <c r="E128" s="438" t="s">
        <v>718</v>
      </c>
      <c r="F128" s="439">
        <v>25.51</v>
      </c>
      <c r="G128" s="440">
        <v>312.5</v>
      </c>
      <c r="H128" s="438" t="s">
        <v>825</v>
      </c>
      <c r="I128" s="438" t="s">
        <v>826</v>
      </c>
      <c r="L128" s="436"/>
      <c r="M128" s="466"/>
      <c r="N128" s="466"/>
      <c r="O128" s="466"/>
      <c r="P128" s="467"/>
      <c r="Q128" s="363"/>
      <c r="R128" s="466"/>
      <c r="S128" s="466"/>
    </row>
    <row r="129" spans="1:19" ht="30" x14ac:dyDescent="0.2">
      <c r="A129" s="436">
        <v>115</v>
      </c>
      <c r="B129" s="437" t="s">
        <v>512</v>
      </c>
      <c r="C129" s="438" t="s">
        <v>827</v>
      </c>
      <c r="D129" s="438" t="s">
        <v>828</v>
      </c>
      <c r="E129" s="438" t="s">
        <v>718</v>
      </c>
      <c r="F129" s="439">
        <v>33.93</v>
      </c>
      <c r="G129" s="440">
        <v>156.25</v>
      </c>
      <c r="H129" s="438">
        <v>26001002376</v>
      </c>
      <c r="I129" s="438" t="s">
        <v>829</v>
      </c>
      <c r="L129" s="436"/>
      <c r="M129" s="466"/>
      <c r="N129" s="466"/>
      <c r="O129" s="466"/>
      <c r="P129" s="467"/>
      <c r="Q129" s="363"/>
      <c r="R129" s="466"/>
      <c r="S129" s="466"/>
    </row>
    <row r="130" spans="1:19" ht="30" x14ac:dyDescent="0.2">
      <c r="A130" s="436">
        <v>116</v>
      </c>
      <c r="B130" s="437" t="s">
        <v>512</v>
      </c>
      <c r="C130" s="438" t="s">
        <v>830</v>
      </c>
      <c r="D130" s="438" t="s">
        <v>831</v>
      </c>
      <c r="E130" s="438" t="s">
        <v>718</v>
      </c>
      <c r="F130" s="439">
        <v>22.5</v>
      </c>
      <c r="G130" s="440">
        <v>109.38</v>
      </c>
      <c r="H130" s="438" t="s">
        <v>832</v>
      </c>
      <c r="I130" s="438" t="s">
        <v>833</v>
      </c>
      <c r="L130" s="436"/>
      <c r="M130" s="466"/>
      <c r="N130" s="466"/>
      <c r="O130" s="466"/>
      <c r="P130" s="467"/>
      <c r="Q130" s="363"/>
      <c r="R130" s="466"/>
      <c r="S130" s="466"/>
    </row>
    <row r="131" spans="1:19" ht="30" x14ac:dyDescent="0.2">
      <c r="A131" s="494">
        <v>117</v>
      </c>
      <c r="B131" s="497" t="s">
        <v>512</v>
      </c>
      <c r="C131" s="497" t="s">
        <v>834</v>
      </c>
      <c r="D131" s="497" t="s">
        <v>835</v>
      </c>
      <c r="E131" s="438" t="s">
        <v>718</v>
      </c>
      <c r="F131" s="439">
        <v>35.229999999999997</v>
      </c>
      <c r="G131" s="440">
        <v>62.5</v>
      </c>
      <c r="H131" s="438" t="s">
        <v>836</v>
      </c>
      <c r="I131" s="438" t="s">
        <v>837</v>
      </c>
      <c r="L131" s="436"/>
      <c r="M131" s="466"/>
      <c r="N131" s="466"/>
      <c r="O131" s="466"/>
      <c r="P131" s="467"/>
      <c r="Q131" s="363"/>
      <c r="R131" s="466"/>
      <c r="S131" s="466"/>
    </row>
    <row r="132" spans="1:19" ht="15" x14ac:dyDescent="0.2">
      <c r="A132" s="496"/>
      <c r="B132" s="499"/>
      <c r="C132" s="499"/>
      <c r="D132" s="499"/>
      <c r="E132" s="438" t="s">
        <v>718</v>
      </c>
      <c r="F132" s="439"/>
      <c r="G132" s="440">
        <v>62.5</v>
      </c>
      <c r="H132" s="438">
        <v>62007000585</v>
      </c>
      <c r="I132" s="438" t="s">
        <v>838</v>
      </c>
      <c r="L132" s="436"/>
      <c r="M132" s="466"/>
      <c r="N132" s="466"/>
      <c r="O132" s="466"/>
      <c r="P132" s="467"/>
      <c r="Q132" s="363"/>
      <c r="R132" s="466"/>
      <c r="S132" s="466"/>
    </row>
    <row r="133" spans="1:19" ht="30" x14ac:dyDescent="0.2">
      <c r="A133" s="436">
        <v>118</v>
      </c>
      <c r="B133" s="437" t="s">
        <v>512</v>
      </c>
      <c r="C133" s="438" t="s">
        <v>839</v>
      </c>
      <c r="D133" s="438" t="s">
        <v>840</v>
      </c>
      <c r="E133" s="438" t="s">
        <v>718</v>
      </c>
      <c r="F133" s="439">
        <v>15.25</v>
      </c>
      <c r="G133" s="440">
        <v>250</v>
      </c>
      <c r="H133" s="438" t="s">
        <v>841</v>
      </c>
      <c r="I133" s="438" t="s">
        <v>842</v>
      </c>
      <c r="L133" s="436"/>
      <c r="M133" s="466"/>
      <c r="N133" s="466"/>
      <c r="O133" s="466"/>
      <c r="P133" s="467"/>
      <c r="Q133" s="363"/>
      <c r="R133" s="466"/>
      <c r="S133" s="466"/>
    </row>
    <row r="134" spans="1:19" ht="15" x14ac:dyDescent="0.2">
      <c r="A134" s="436">
        <v>119</v>
      </c>
      <c r="B134" s="437" t="s">
        <v>512</v>
      </c>
      <c r="C134" s="438" t="s">
        <v>843</v>
      </c>
      <c r="D134" s="438" t="s">
        <v>844</v>
      </c>
      <c r="E134" s="438" t="s">
        <v>718</v>
      </c>
      <c r="F134" s="439">
        <v>23.75</v>
      </c>
      <c r="G134" s="440">
        <v>137.5</v>
      </c>
      <c r="H134" s="438" t="s">
        <v>845</v>
      </c>
      <c r="I134" s="438" t="s">
        <v>846</v>
      </c>
      <c r="L134" s="436"/>
      <c r="M134" s="466"/>
      <c r="N134" s="466"/>
      <c r="O134" s="466"/>
      <c r="P134" s="467"/>
      <c r="Q134" s="363"/>
      <c r="R134" s="466"/>
      <c r="S134" s="466"/>
    </row>
    <row r="135" spans="1:19" ht="30" x14ac:dyDescent="0.2">
      <c r="A135" s="436">
        <v>120</v>
      </c>
      <c r="B135" s="437" t="s">
        <v>512</v>
      </c>
      <c r="C135" s="438" t="s">
        <v>847</v>
      </c>
      <c r="D135" s="438" t="s">
        <v>848</v>
      </c>
      <c r="E135" s="438" t="s">
        <v>718</v>
      </c>
      <c r="F135" s="439">
        <v>59.33</v>
      </c>
      <c r="G135" s="440">
        <v>820.46875</v>
      </c>
      <c r="H135" s="438" t="s">
        <v>849</v>
      </c>
      <c r="I135" s="438" t="s">
        <v>850</v>
      </c>
      <c r="L135" s="436"/>
      <c r="M135" s="466"/>
      <c r="N135" s="466"/>
      <c r="O135" s="466"/>
      <c r="P135" s="467"/>
      <c r="Q135" s="363"/>
      <c r="R135" s="466"/>
      <c r="S135" s="466"/>
    </row>
    <row r="136" spans="1:19" ht="30" x14ac:dyDescent="0.2">
      <c r="A136" s="436">
        <v>121</v>
      </c>
      <c r="B136" s="437" t="s">
        <v>512</v>
      </c>
      <c r="C136" s="438" t="s">
        <v>851</v>
      </c>
      <c r="D136" s="438" t="s">
        <v>852</v>
      </c>
      <c r="E136" s="438" t="s">
        <v>718</v>
      </c>
      <c r="F136" s="439">
        <v>11.5</v>
      </c>
      <c r="G136" s="440">
        <v>125</v>
      </c>
      <c r="H136" s="438" t="s">
        <v>853</v>
      </c>
      <c r="I136" s="438" t="s">
        <v>854</v>
      </c>
      <c r="L136" s="436"/>
      <c r="M136" s="466"/>
      <c r="N136" s="466"/>
      <c r="O136" s="466"/>
      <c r="P136" s="467"/>
      <c r="Q136" s="363"/>
      <c r="R136" s="466"/>
      <c r="S136" s="466"/>
    </row>
    <row r="137" spans="1:19" ht="30" x14ac:dyDescent="0.2">
      <c r="A137" s="436">
        <v>122</v>
      </c>
      <c r="B137" s="437" t="s">
        <v>512</v>
      </c>
      <c r="C137" s="438" t="s">
        <v>855</v>
      </c>
      <c r="D137" s="438" t="s">
        <v>856</v>
      </c>
      <c r="E137" s="438" t="s">
        <v>718</v>
      </c>
      <c r="F137" s="439">
        <v>54.75</v>
      </c>
      <c r="G137" s="440">
        <v>200</v>
      </c>
      <c r="H137" s="438" t="s">
        <v>857</v>
      </c>
      <c r="I137" s="438" t="s">
        <v>858</v>
      </c>
      <c r="L137" s="436"/>
      <c r="M137" s="466"/>
      <c r="N137" s="466"/>
      <c r="O137" s="466"/>
      <c r="P137" s="467"/>
      <c r="Q137" s="363"/>
      <c r="R137" s="466"/>
      <c r="S137" s="466"/>
    </row>
    <row r="138" spans="1:19" ht="30" x14ac:dyDescent="0.2">
      <c r="A138" s="436">
        <v>123</v>
      </c>
      <c r="B138" s="437" t="s">
        <v>512</v>
      </c>
      <c r="C138" s="438" t="s">
        <v>859</v>
      </c>
      <c r="D138" s="438" t="s">
        <v>860</v>
      </c>
      <c r="E138" s="438" t="s">
        <v>718</v>
      </c>
      <c r="F138" s="439">
        <v>26.75</v>
      </c>
      <c r="G138" s="440">
        <v>250</v>
      </c>
      <c r="H138" s="438">
        <v>62005023736</v>
      </c>
      <c r="I138" s="438" t="s">
        <v>861</v>
      </c>
      <c r="L138" s="436"/>
      <c r="M138" s="466"/>
      <c r="N138" s="466"/>
      <c r="O138" s="466"/>
      <c r="P138" s="467"/>
      <c r="Q138" s="363"/>
      <c r="R138" s="466"/>
      <c r="S138" s="466"/>
    </row>
    <row r="139" spans="1:19" ht="45" x14ac:dyDescent="0.2">
      <c r="A139" s="436">
        <v>124</v>
      </c>
      <c r="B139" s="437" t="s">
        <v>512</v>
      </c>
      <c r="C139" s="438" t="s">
        <v>862</v>
      </c>
      <c r="D139" s="438" t="s">
        <v>863</v>
      </c>
      <c r="E139" s="438" t="s">
        <v>718</v>
      </c>
      <c r="F139" s="439">
        <v>141.05000000000001</v>
      </c>
      <c r="G139" s="440">
        <v>625</v>
      </c>
      <c r="H139" s="438" t="s">
        <v>675</v>
      </c>
      <c r="I139" s="438" t="s">
        <v>674</v>
      </c>
      <c r="L139" s="436"/>
      <c r="M139" s="466"/>
      <c r="N139" s="466"/>
      <c r="O139" s="466"/>
      <c r="P139" s="467"/>
      <c r="Q139" s="363"/>
      <c r="R139" s="466"/>
      <c r="S139" s="466"/>
    </row>
    <row r="140" spans="1:19" ht="45" x14ac:dyDescent="0.2">
      <c r="A140" s="436">
        <v>125</v>
      </c>
      <c r="B140" s="437" t="s">
        <v>512</v>
      </c>
      <c r="C140" s="438" t="s">
        <v>864</v>
      </c>
      <c r="D140" s="438" t="s">
        <v>865</v>
      </c>
      <c r="E140" s="438" t="s">
        <v>718</v>
      </c>
      <c r="F140" s="439">
        <v>22.75</v>
      </c>
      <c r="G140" s="440">
        <v>312.5</v>
      </c>
      <c r="H140" s="438" t="s">
        <v>866</v>
      </c>
      <c r="I140" s="438" t="s">
        <v>867</v>
      </c>
      <c r="L140" s="436"/>
      <c r="M140" s="466"/>
      <c r="N140" s="466"/>
      <c r="O140" s="466"/>
      <c r="P140" s="467"/>
      <c r="Q140" s="363"/>
      <c r="R140" s="466"/>
      <c r="S140" s="466"/>
    </row>
    <row r="141" spans="1:19" ht="15" x14ac:dyDescent="0.2">
      <c r="A141" s="494">
        <v>126</v>
      </c>
      <c r="B141" s="497" t="s">
        <v>512</v>
      </c>
      <c r="C141" s="497" t="s">
        <v>923</v>
      </c>
      <c r="D141" s="497" t="s">
        <v>924</v>
      </c>
      <c r="E141" s="497" t="s">
        <v>695</v>
      </c>
      <c r="F141" s="497">
        <v>49</v>
      </c>
      <c r="G141" s="440">
        <v>93.75</v>
      </c>
      <c r="H141" s="438">
        <v>33001014275</v>
      </c>
      <c r="I141" s="438" t="s">
        <v>927</v>
      </c>
      <c r="L141" s="436"/>
      <c r="M141" s="466"/>
      <c r="N141" s="466"/>
      <c r="O141" s="466"/>
      <c r="P141" s="467"/>
      <c r="Q141" s="363"/>
      <c r="R141" s="466"/>
      <c r="S141" s="466"/>
    </row>
    <row r="142" spans="1:19" ht="15" x14ac:dyDescent="0.2">
      <c r="A142" s="495"/>
      <c r="B142" s="498"/>
      <c r="C142" s="498"/>
      <c r="D142" s="498"/>
      <c r="E142" s="498"/>
      <c r="F142" s="498"/>
      <c r="G142" s="440">
        <v>93.75</v>
      </c>
      <c r="H142" s="438" t="s">
        <v>925</v>
      </c>
      <c r="I142" s="438" t="s">
        <v>928</v>
      </c>
      <c r="L142" s="436"/>
      <c r="M142" s="466"/>
      <c r="N142" s="466"/>
      <c r="O142" s="466"/>
      <c r="P142" s="467"/>
      <c r="Q142" s="363"/>
      <c r="R142" s="466"/>
      <c r="S142" s="466"/>
    </row>
    <row r="143" spans="1:19" ht="15" x14ac:dyDescent="0.2">
      <c r="A143" s="495"/>
      <c r="B143" s="498"/>
      <c r="C143" s="498"/>
      <c r="D143" s="498"/>
      <c r="E143" s="498"/>
      <c r="F143" s="498"/>
      <c r="G143" s="440">
        <v>93.75</v>
      </c>
      <c r="H143" s="438">
        <v>33001050106</v>
      </c>
      <c r="I143" s="438" t="s">
        <v>929</v>
      </c>
      <c r="L143" s="436"/>
      <c r="M143" s="466"/>
      <c r="N143" s="466"/>
      <c r="O143" s="466"/>
      <c r="P143" s="467"/>
      <c r="Q143" s="363"/>
      <c r="R143" s="466"/>
      <c r="S143" s="466"/>
    </row>
    <row r="144" spans="1:19" ht="15" x14ac:dyDescent="0.2">
      <c r="A144" s="496"/>
      <c r="B144" s="499"/>
      <c r="C144" s="499"/>
      <c r="D144" s="499"/>
      <c r="E144" s="499"/>
      <c r="F144" s="499"/>
      <c r="G144" s="440">
        <v>93.75</v>
      </c>
      <c r="H144" s="438" t="s">
        <v>926</v>
      </c>
      <c r="I144" s="438" t="s">
        <v>930</v>
      </c>
      <c r="L144" s="436"/>
      <c r="M144" s="466"/>
      <c r="N144" s="466"/>
      <c r="O144" s="466"/>
      <c r="P144" s="467"/>
      <c r="Q144" s="363"/>
      <c r="R144" s="466"/>
      <c r="S144" s="466"/>
    </row>
    <row r="145" spans="1:19" ht="60" x14ac:dyDescent="0.2">
      <c r="A145" s="436">
        <v>127</v>
      </c>
      <c r="B145" s="436" t="s">
        <v>512</v>
      </c>
      <c r="C145" s="466" t="s">
        <v>1068</v>
      </c>
      <c r="D145" s="466" t="s">
        <v>1069</v>
      </c>
      <c r="E145" s="466" t="s">
        <v>910</v>
      </c>
      <c r="F145" s="467">
        <v>1600</v>
      </c>
      <c r="G145" s="363">
        <v>1500</v>
      </c>
      <c r="H145" s="466">
        <v>204468664</v>
      </c>
      <c r="I145" s="466" t="s">
        <v>1070</v>
      </c>
      <c r="L145" s="436"/>
      <c r="M145" s="466"/>
      <c r="N145" s="466"/>
      <c r="O145" s="466"/>
      <c r="P145" s="467"/>
      <c r="Q145" s="363"/>
      <c r="R145" s="466"/>
      <c r="S145" s="466"/>
    </row>
    <row r="146" spans="1:19" ht="45" x14ac:dyDescent="0.2">
      <c r="A146" s="436">
        <v>128</v>
      </c>
      <c r="B146" s="437" t="s">
        <v>512</v>
      </c>
      <c r="C146" s="438" t="s">
        <v>1095</v>
      </c>
      <c r="D146" s="438" t="s">
        <v>1096</v>
      </c>
      <c r="E146" s="438" t="s">
        <v>910</v>
      </c>
      <c r="F146" s="439">
        <v>300</v>
      </c>
      <c r="G146" s="440">
        <v>300</v>
      </c>
      <c r="H146" s="438" t="s">
        <v>1097</v>
      </c>
      <c r="I146" s="438" t="s">
        <v>1098</v>
      </c>
      <c r="L146" s="436"/>
      <c r="M146" s="466"/>
      <c r="N146" s="466"/>
      <c r="O146" s="466"/>
      <c r="P146" s="467"/>
      <c r="Q146" s="363"/>
      <c r="R146" s="466"/>
      <c r="S146" s="466"/>
    </row>
    <row r="147" spans="1:19" ht="30" x14ac:dyDescent="0.2">
      <c r="A147" s="436">
        <v>129</v>
      </c>
      <c r="B147" s="437" t="s">
        <v>512</v>
      </c>
      <c r="C147" s="438" t="s">
        <v>1099</v>
      </c>
      <c r="D147" s="438" t="s">
        <v>1100</v>
      </c>
      <c r="E147" s="438" t="s">
        <v>910</v>
      </c>
      <c r="F147" s="439">
        <v>346</v>
      </c>
      <c r="G147" s="440">
        <v>600</v>
      </c>
      <c r="H147" s="438" t="s">
        <v>1101</v>
      </c>
      <c r="I147" s="438" t="s">
        <v>1102</v>
      </c>
      <c r="L147" s="436"/>
      <c r="M147" s="466"/>
      <c r="N147" s="466"/>
      <c r="O147" s="466"/>
      <c r="P147" s="467"/>
      <c r="Q147" s="363"/>
      <c r="R147" s="466"/>
      <c r="S147" s="466"/>
    </row>
    <row r="148" spans="1:19" ht="30" x14ac:dyDescent="0.2">
      <c r="A148" s="436">
        <v>130</v>
      </c>
      <c r="B148" s="437" t="s">
        <v>512</v>
      </c>
      <c r="C148" s="438" t="s">
        <v>1103</v>
      </c>
      <c r="D148" s="438" t="s">
        <v>1104</v>
      </c>
      <c r="E148" s="438" t="s">
        <v>910</v>
      </c>
      <c r="F148" s="439">
        <v>100</v>
      </c>
      <c r="G148" s="440">
        <v>150</v>
      </c>
      <c r="H148" s="438" t="s">
        <v>1105</v>
      </c>
      <c r="I148" s="438" t="s">
        <v>1106</v>
      </c>
      <c r="L148" s="436"/>
      <c r="M148" s="466"/>
      <c r="N148" s="466"/>
      <c r="O148" s="466"/>
      <c r="P148" s="467"/>
      <c r="Q148" s="363"/>
      <c r="R148" s="466"/>
      <c r="S148" s="466"/>
    </row>
    <row r="149" spans="1:19" ht="15" x14ac:dyDescent="0.2">
      <c r="A149" s="436">
        <v>131</v>
      </c>
      <c r="B149" s="437" t="s">
        <v>512</v>
      </c>
      <c r="C149" s="438" t="s">
        <v>1107</v>
      </c>
      <c r="D149" s="438" t="s">
        <v>1108</v>
      </c>
      <c r="E149" s="438" t="s">
        <v>910</v>
      </c>
      <c r="F149" s="439">
        <v>96</v>
      </c>
      <c r="G149" s="440">
        <v>150</v>
      </c>
      <c r="H149" s="438" t="s">
        <v>1109</v>
      </c>
      <c r="I149" s="438" t="s">
        <v>1110</v>
      </c>
      <c r="L149" s="436"/>
      <c r="M149" s="466"/>
      <c r="N149" s="466"/>
      <c r="O149" s="466"/>
      <c r="P149" s="467"/>
      <c r="Q149" s="363"/>
      <c r="R149" s="466"/>
      <c r="S149" s="466"/>
    </row>
    <row r="150" spans="1:19" ht="30" x14ac:dyDescent="0.2">
      <c r="A150" s="436">
        <v>132</v>
      </c>
      <c r="B150" s="437" t="s">
        <v>512</v>
      </c>
      <c r="C150" s="438" t="s">
        <v>914</v>
      </c>
      <c r="D150" s="438" t="s">
        <v>915</v>
      </c>
      <c r="E150" s="438" t="s">
        <v>910</v>
      </c>
      <c r="F150" s="439">
        <v>120</v>
      </c>
      <c r="G150" s="440">
        <v>150</v>
      </c>
      <c r="H150" s="438">
        <v>243570989</v>
      </c>
      <c r="I150" s="438" t="s">
        <v>880</v>
      </c>
      <c r="L150" s="436"/>
      <c r="M150" s="466"/>
      <c r="N150" s="466"/>
      <c r="O150" s="466"/>
      <c r="P150" s="467"/>
      <c r="Q150" s="363"/>
      <c r="R150" s="466"/>
      <c r="S150" s="466"/>
    </row>
    <row r="151" spans="1:19" ht="30" x14ac:dyDescent="0.2">
      <c r="A151" s="436">
        <v>133</v>
      </c>
      <c r="B151" s="437" t="s">
        <v>512</v>
      </c>
      <c r="C151" s="438" t="s">
        <v>912</v>
      </c>
      <c r="D151" s="438" t="s">
        <v>913</v>
      </c>
      <c r="E151" s="438" t="s">
        <v>910</v>
      </c>
      <c r="F151" s="439">
        <v>161.19999999999999</v>
      </c>
      <c r="G151" s="440">
        <v>150</v>
      </c>
      <c r="H151" s="438">
        <v>219636259</v>
      </c>
      <c r="I151" s="438" t="s">
        <v>881</v>
      </c>
      <c r="L151" s="436"/>
      <c r="M151" s="466"/>
      <c r="N151" s="466"/>
      <c r="O151" s="466"/>
      <c r="P151" s="467"/>
      <c r="Q151" s="363"/>
      <c r="R151" s="466"/>
      <c r="S151" s="466"/>
    </row>
    <row r="152" spans="1:19" ht="30" x14ac:dyDescent="0.2">
      <c r="A152" s="436">
        <v>134</v>
      </c>
      <c r="B152" s="437" t="s">
        <v>512</v>
      </c>
      <c r="C152" s="438" t="s">
        <v>909</v>
      </c>
      <c r="D152" s="438"/>
      <c r="E152" s="438" t="s">
        <v>910</v>
      </c>
      <c r="F152" s="439"/>
      <c r="G152" s="440">
        <v>3823.2</v>
      </c>
      <c r="H152" s="438">
        <v>20384233</v>
      </c>
      <c r="I152" s="438" t="s">
        <v>911</v>
      </c>
      <c r="L152" s="436"/>
      <c r="M152" s="466"/>
      <c r="N152" s="466"/>
      <c r="O152" s="466"/>
      <c r="P152" s="467"/>
      <c r="Q152" s="363"/>
      <c r="R152" s="466"/>
      <c r="S152" s="466"/>
    </row>
    <row r="153" spans="1:19" ht="75" x14ac:dyDescent="0.2">
      <c r="A153" s="436">
        <v>135</v>
      </c>
      <c r="B153" s="437" t="s">
        <v>512</v>
      </c>
      <c r="C153" s="438" t="s">
        <v>916</v>
      </c>
      <c r="D153" s="438" t="s">
        <v>917</v>
      </c>
      <c r="E153" s="438" t="s">
        <v>910</v>
      </c>
      <c r="F153" s="439">
        <v>256.7</v>
      </c>
      <c r="G153" s="440">
        <v>500</v>
      </c>
      <c r="H153" s="438">
        <v>204582521</v>
      </c>
      <c r="I153" s="438" t="s">
        <v>918</v>
      </c>
    </row>
    <row r="154" spans="1:19" x14ac:dyDescent="0.2">
      <c r="A154" s="187"/>
      <c r="B154" s="187"/>
      <c r="C154" s="187"/>
      <c r="D154" s="187"/>
      <c r="E154" s="187"/>
      <c r="F154" s="187"/>
      <c r="G154" s="187"/>
      <c r="H154" s="187"/>
      <c r="I154" s="187"/>
    </row>
    <row r="155" spans="1:19" x14ac:dyDescent="0.2">
      <c r="A155" s="187"/>
      <c r="B155" s="187"/>
      <c r="C155" s="187"/>
      <c r="D155" s="187"/>
      <c r="E155" s="187"/>
      <c r="F155" s="187"/>
      <c r="G155" s="187"/>
      <c r="H155" s="187"/>
      <c r="I155" s="187"/>
    </row>
    <row r="156" spans="1:19" ht="15" x14ac:dyDescent="0.3">
      <c r="A156" s="364"/>
      <c r="B156" s="364"/>
      <c r="C156" s="187"/>
      <c r="D156" s="187"/>
      <c r="E156" s="187"/>
      <c r="F156" s="187"/>
      <c r="G156" s="187"/>
      <c r="H156" s="187"/>
      <c r="I156" s="187"/>
    </row>
    <row r="157" spans="1:19" ht="15" x14ac:dyDescent="0.3">
      <c r="A157" s="21"/>
      <c r="B157" s="21"/>
      <c r="C157" s="365" t="s">
        <v>96</v>
      </c>
      <c r="D157" s="21"/>
      <c r="E157" s="21"/>
      <c r="F157" s="19"/>
      <c r="G157" s="21"/>
      <c r="H157" s="21"/>
      <c r="I157" s="21"/>
    </row>
    <row r="158" spans="1:19" ht="15" x14ac:dyDescent="0.3">
      <c r="A158" s="21"/>
      <c r="B158" s="21"/>
      <c r="C158" s="21"/>
      <c r="D158" s="506"/>
      <c r="E158" s="506"/>
      <c r="G158" s="189"/>
      <c r="H158" s="366"/>
    </row>
    <row r="159" spans="1:19" ht="15" x14ac:dyDescent="0.3">
      <c r="C159" s="21"/>
      <c r="D159" s="507" t="s">
        <v>251</v>
      </c>
      <c r="E159" s="507"/>
      <c r="G159" s="508" t="s">
        <v>450</v>
      </c>
      <c r="H159" s="508"/>
    </row>
    <row r="160" spans="1:19" ht="15" x14ac:dyDescent="0.3">
      <c r="C160" s="21"/>
      <c r="D160" s="21"/>
      <c r="E160" s="21"/>
      <c r="G160" s="509"/>
      <c r="H160" s="509"/>
    </row>
    <row r="161" spans="3:8" ht="15" x14ac:dyDescent="0.3">
      <c r="C161" s="21"/>
      <c r="D161" s="510" t="s">
        <v>127</v>
      </c>
      <c r="E161" s="510"/>
      <c r="G161" s="509"/>
      <c r="H161" s="509"/>
    </row>
  </sheetData>
  <mergeCells count="80">
    <mergeCell ref="V20:V21"/>
    <mergeCell ref="W20:W21"/>
    <mergeCell ref="X20:X21"/>
    <mergeCell ref="V49:V50"/>
    <mergeCell ref="W49:W50"/>
    <mergeCell ref="X49:X50"/>
    <mergeCell ref="V11:V12"/>
    <mergeCell ref="W11:W12"/>
    <mergeCell ref="X11:X12"/>
    <mergeCell ref="Y11:Y12"/>
    <mergeCell ref="Z11:Z12"/>
    <mergeCell ref="L77:L78"/>
    <mergeCell ref="M77:M78"/>
    <mergeCell ref="N77:N78"/>
    <mergeCell ref="O77:O78"/>
    <mergeCell ref="P77:P78"/>
    <mergeCell ref="L37:L38"/>
    <mergeCell ref="M37:M38"/>
    <mergeCell ref="N37:N38"/>
    <mergeCell ref="O37:O38"/>
    <mergeCell ref="P37:P38"/>
    <mergeCell ref="L19:L20"/>
    <mergeCell ref="M19:M20"/>
    <mergeCell ref="N19:N20"/>
    <mergeCell ref="O19:O20"/>
    <mergeCell ref="P19:P20"/>
    <mergeCell ref="L13:L14"/>
    <mergeCell ref="M13:M14"/>
    <mergeCell ref="N13:N14"/>
    <mergeCell ref="O13:O14"/>
    <mergeCell ref="P13:P14"/>
    <mergeCell ref="A13:A14"/>
    <mergeCell ref="B13:B14"/>
    <mergeCell ref="A19:A20"/>
    <mergeCell ref="B19:B20"/>
    <mergeCell ref="A37:A38"/>
    <mergeCell ref="B37:B38"/>
    <mergeCell ref="C19:C20"/>
    <mergeCell ref="D19:D20"/>
    <mergeCell ref="E19:E20"/>
    <mergeCell ref="F19:F20"/>
    <mergeCell ref="C37:C38"/>
    <mergeCell ref="D37:D38"/>
    <mergeCell ref="E37:E38"/>
    <mergeCell ref="F37:F38"/>
    <mergeCell ref="I2:J2"/>
    <mergeCell ref="C13:C14"/>
    <mergeCell ref="D13:D14"/>
    <mergeCell ref="E13:E14"/>
    <mergeCell ref="F13:F14"/>
    <mergeCell ref="D158:E158"/>
    <mergeCell ref="D159:E159"/>
    <mergeCell ref="G159:H161"/>
    <mergeCell ref="D161:E161"/>
    <mergeCell ref="F95:F96"/>
    <mergeCell ref="F141:F144"/>
    <mergeCell ref="F77:F78"/>
    <mergeCell ref="A95:A96"/>
    <mergeCell ref="B95:B96"/>
    <mergeCell ref="C95:C96"/>
    <mergeCell ref="D95:D96"/>
    <mergeCell ref="E95:E96"/>
    <mergeCell ref="A77:A78"/>
    <mergeCell ref="B77:B78"/>
    <mergeCell ref="C77:C78"/>
    <mergeCell ref="D77:D78"/>
    <mergeCell ref="E77:E78"/>
    <mergeCell ref="A102:A103"/>
    <mergeCell ref="B102:B103"/>
    <mergeCell ref="C102:C103"/>
    <mergeCell ref="D102:D103"/>
    <mergeCell ref="A131:A132"/>
    <mergeCell ref="B131:B132"/>
    <mergeCell ref="C131:C132"/>
    <mergeCell ref="D131:D132"/>
    <mergeCell ref="A141:A144"/>
    <mergeCell ref="B141:B144"/>
    <mergeCell ref="C141:C144"/>
    <mergeCell ref="D141:D144"/>
    <mergeCell ref="E141:E144"/>
  </mergeCells>
  <dataValidations count="1">
    <dataValidation type="list" allowBlank="1" showInputMessage="1" showErrorMessage="1" sqref="L39:L77 L79:L152 L9:L13 L15:L19 L21:L37 V9:V58 B9:B13 B15:B19 B21:B37 B39:B77 B79:B141 B145:B153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2" sqref="K2:L2"/>
    </sheetView>
  </sheetViews>
  <sheetFormatPr defaultColWidth="9.140625" defaultRowHeight="12.75" x14ac:dyDescent="0.2"/>
  <cols>
    <col min="1" max="1" width="6.85546875" style="358" customWidth="1"/>
    <col min="2" max="2" width="14.85546875" style="358" customWidth="1"/>
    <col min="3" max="3" width="21.140625" style="358" customWidth="1"/>
    <col min="4" max="5" width="12.7109375" style="358" customWidth="1"/>
    <col min="6" max="6" width="13.42578125" style="358" bestFit="1" customWidth="1"/>
    <col min="7" max="7" width="15.28515625" style="358" customWidth="1"/>
    <col min="8" max="8" width="23.85546875" style="358" customWidth="1"/>
    <col min="9" max="9" width="12.140625" style="358" bestFit="1" customWidth="1"/>
    <col min="10" max="10" width="19" style="358" customWidth="1"/>
    <col min="11" max="11" width="17.7109375" style="358" customWidth="1"/>
    <col min="12" max="16384" width="9.140625" style="358"/>
  </cols>
  <sheetData>
    <row r="1" spans="1:12" s="190" customFormat="1" ht="15" x14ac:dyDescent="0.2">
      <c r="A1" s="184" t="s">
        <v>288</v>
      </c>
      <c r="B1" s="184"/>
      <c r="C1" s="184"/>
      <c r="D1" s="185"/>
      <c r="E1" s="185"/>
      <c r="F1" s="185"/>
      <c r="G1" s="185"/>
      <c r="H1" s="185"/>
      <c r="I1" s="185"/>
      <c r="J1" s="185"/>
      <c r="K1" s="348" t="s">
        <v>97</v>
      </c>
    </row>
    <row r="2" spans="1:12" s="190" customFormat="1" ht="15" x14ac:dyDescent="0.3">
      <c r="A2" s="145" t="s">
        <v>128</v>
      </c>
      <c r="B2" s="145"/>
      <c r="C2" s="145"/>
      <c r="D2" s="185"/>
      <c r="E2" s="185"/>
      <c r="F2" s="185"/>
      <c r="G2" s="185"/>
      <c r="H2" s="185"/>
      <c r="I2" s="185"/>
      <c r="J2" s="185"/>
      <c r="K2" s="513" t="s">
        <v>1113</v>
      </c>
      <c r="L2" s="514"/>
    </row>
    <row r="3" spans="1:12" s="190" customFormat="1" ht="15" x14ac:dyDescent="0.2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38"/>
      <c r="L3" s="358"/>
    </row>
    <row r="4" spans="1:12" s="190" customFormat="1" ht="15" x14ac:dyDescent="0.3">
      <c r="A4" s="112" t="s">
        <v>257</v>
      </c>
      <c r="B4" s="112"/>
      <c r="C4" s="112"/>
      <c r="D4" s="112"/>
      <c r="E4" s="112"/>
      <c r="F4" s="353"/>
      <c r="G4" s="186"/>
      <c r="H4" s="185"/>
      <c r="I4" s="185"/>
      <c r="J4" s="185"/>
      <c r="K4" s="185"/>
    </row>
    <row r="5" spans="1:12" ht="15" x14ac:dyDescent="0.3">
      <c r="A5" s="354" t="str">
        <f>'ფორმა N1'!A5</f>
        <v>მპგ ,, ქართული ოცნება დემოკრატიული საქართველო"</v>
      </c>
      <c r="B5" s="354"/>
      <c r="C5" s="354"/>
      <c r="D5" s="355"/>
      <c r="E5" s="355"/>
      <c r="F5" s="355"/>
      <c r="G5" s="356"/>
      <c r="H5" s="357"/>
      <c r="I5" s="357"/>
      <c r="J5" s="357"/>
      <c r="K5" s="356"/>
    </row>
    <row r="6" spans="1:12" s="190" customFormat="1" ht="13.5" x14ac:dyDescent="0.2">
      <c r="A6" s="139"/>
      <c r="B6" s="139"/>
      <c r="C6" s="139"/>
      <c r="D6" s="359"/>
      <c r="E6" s="359"/>
      <c r="F6" s="359"/>
      <c r="G6" s="185"/>
      <c r="H6" s="185"/>
      <c r="I6" s="185"/>
      <c r="J6" s="185"/>
      <c r="K6" s="185"/>
    </row>
    <row r="7" spans="1:12" s="190" customFormat="1" ht="60" x14ac:dyDescent="0.2">
      <c r="A7" s="360" t="s">
        <v>64</v>
      </c>
      <c r="B7" s="360" t="s">
        <v>443</v>
      </c>
      <c r="C7" s="360" t="s">
        <v>231</v>
      </c>
      <c r="D7" s="361" t="s">
        <v>228</v>
      </c>
      <c r="E7" s="361" t="s">
        <v>229</v>
      </c>
      <c r="F7" s="361" t="s">
        <v>322</v>
      </c>
      <c r="G7" s="361" t="s">
        <v>230</v>
      </c>
      <c r="H7" s="361" t="s">
        <v>451</v>
      </c>
      <c r="I7" s="361" t="s">
        <v>227</v>
      </c>
      <c r="J7" s="361" t="s">
        <v>448</v>
      </c>
      <c r="K7" s="361" t="s">
        <v>449</v>
      </c>
    </row>
    <row r="8" spans="1:12" s="190" customFormat="1" ht="15" x14ac:dyDescent="0.2">
      <c r="A8" s="360">
        <v>1</v>
      </c>
      <c r="B8" s="360">
        <v>2</v>
      </c>
      <c r="C8" s="360">
        <v>3</v>
      </c>
      <c r="D8" s="361">
        <v>4</v>
      </c>
      <c r="E8" s="360">
        <v>5</v>
      </c>
      <c r="F8" s="361">
        <v>6</v>
      </c>
      <c r="G8" s="360">
        <v>7</v>
      </c>
      <c r="H8" s="361">
        <v>8</v>
      </c>
      <c r="I8" s="360">
        <v>9</v>
      </c>
      <c r="J8" s="360">
        <v>10</v>
      </c>
      <c r="K8" s="361">
        <v>11</v>
      </c>
    </row>
    <row r="9" spans="1:12" s="190" customFormat="1" ht="30" x14ac:dyDescent="0.2">
      <c r="A9" s="362">
        <v>1</v>
      </c>
      <c r="B9" s="362" t="s">
        <v>492</v>
      </c>
      <c r="C9" s="362" t="s">
        <v>493</v>
      </c>
      <c r="D9" s="363" t="s">
        <v>494</v>
      </c>
      <c r="E9" s="363" t="s">
        <v>495</v>
      </c>
      <c r="F9" s="363">
        <v>2012</v>
      </c>
      <c r="G9" s="363" t="s">
        <v>496</v>
      </c>
      <c r="H9" s="363">
        <v>66066.13</v>
      </c>
      <c r="I9" s="363" t="s">
        <v>497</v>
      </c>
      <c r="J9" s="363"/>
      <c r="K9" s="363"/>
    </row>
    <row r="10" spans="1:12" s="190" customFormat="1" ht="15" x14ac:dyDescent="0.2">
      <c r="A10" s="362">
        <v>2</v>
      </c>
      <c r="B10" s="362" t="s">
        <v>492</v>
      </c>
      <c r="C10" s="362" t="s">
        <v>498</v>
      </c>
      <c r="D10" s="363" t="s">
        <v>499</v>
      </c>
      <c r="E10" s="363" t="s">
        <v>500</v>
      </c>
      <c r="F10" s="363">
        <v>2016</v>
      </c>
      <c r="G10" s="363" t="s">
        <v>501</v>
      </c>
      <c r="H10" s="363">
        <v>24874.959999999999</v>
      </c>
      <c r="I10" s="363" t="s">
        <v>502</v>
      </c>
      <c r="J10" s="363"/>
      <c r="K10" s="363"/>
    </row>
    <row r="11" spans="1:12" s="190" customFormat="1" ht="15" x14ac:dyDescent="0.2">
      <c r="A11" s="362">
        <v>3</v>
      </c>
      <c r="B11" s="362" t="s">
        <v>492</v>
      </c>
      <c r="C11" s="362" t="s">
        <v>498</v>
      </c>
      <c r="D11" s="363" t="s">
        <v>499</v>
      </c>
      <c r="E11" s="363" t="s">
        <v>500</v>
      </c>
      <c r="F11" s="363">
        <v>2016</v>
      </c>
      <c r="G11" s="363" t="s">
        <v>503</v>
      </c>
      <c r="H11" s="363">
        <v>24874.959999999999</v>
      </c>
      <c r="I11" s="363" t="s">
        <v>502</v>
      </c>
      <c r="J11" s="363"/>
      <c r="K11" s="363"/>
    </row>
    <row r="12" spans="1:12" s="190" customFormat="1" ht="15" x14ac:dyDescent="0.2">
      <c r="A12" s="362">
        <v>4</v>
      </c>
      <c r="B12" s="362" t="s">
        <v>492</v>
      </c>
      <c r="C12" s="362" t="s">
        <v>498</v>
      </c>
      <c r="D12" s="363" t="s">
        <v>499</v>
      </c>
      <c r="E12" s="363" t="s">
        <v>500</v>
      </c>
      <c r="F12" s="363">
        <v>2016</v>
      </c>
      <c r="G12" s="363" t="s">
        <v>504</v>
      </c>
      <c r="H12" s="363">
        <v>24874.959999999999</v>
      </c>
      <c r="I12" s="363" t="s">
        <v>502</v>
      </c>
      <c r="J12" s="363"/>
      <c r="K12" s="363"/>
    </row>
    <row r="13" spans="1:12" s="190" customFormat="1" ht="15" x14ac:dyDescent="0.2">
      <c r="A13" s="362">
        <v>5</v>
      </c>
      <c r="B13" s="362" t="s">
        <v>492</v>
      </c>
      <c r="C13" s="362" t="s">
        <v>498</v>
      </c>
      <c r="D13" s="363" t="s">
        <v>499</v>
      </c>
      <c r="E13" s="363" t="s">
        <v>500</v>
      </c>
      <c r="F13" s="363">
        <v>2016</v>
      </c>
      <c r="G13" s="363" t="s">
        <v>505</v>
      </c>
      <c r="H13" s="363">
        <v>24874.959999999999</v>
      </c>
      <c r="I13" s="363" t="s">
        <v>502</v>
      </c>
      <c r="J13" s="363"/>
      <c r="K13" s="363"/>
    </row>
    <row r="14" spans="1:12" s="190" customFormat="1" ht="15" x14ac:dyDescent="0.2">
      <c r="A14" s="362">
        <v>6</v>
      </c>
      <c r="B14" s="362" t="s">
        <v>492</v>
      </c>
      <c r="C14" s="362" t="s">
        <v>498</v>
      </c>
      <c r="D14" s="363" t="s">
        <v>499</v>
      </c>
      <c r="E14" s="363" t="s">
        <v>500</v>
      </c>
      <c r="F14" s="363">
        <v>2016</v>
      </c>
      <c r="G14" s="363" t="s">
        <v>506</v>
      </c>
      <c r="H14" s="363">
        <v>23250.45</v>
      </c>
      <c r="I14" s="363" t="s">
        <v>502</v>
      </c>
      <c r="J14" s="363"/>
      <c r="K14" s="363"/>
    </row>
    <row r="15" spans="1:12" s="190" customFormat="1" ht="15" x14ac:dyDescent="0.2">
      <c r="A15" s="362">
        <v>7</v>
      </c>
      <c r="B15" s="362" t="s">
        <v>492</v>
      </c>
      <c r="C15" s="362" t="s">
        <v>498</v>
      </c>
      <c r="D15" s="363" t="s">
        <v>499</v>
      </c>
      <c r="E15" s="363" t="s">
        <v>500</v>
      </c>
      <c r="F15" s="363">
        <v>2016</v>
      </c>
      <c r="G15" s="363" t="s">
        <v>507</v>
      </c>
      <c r="H15" s="363">
        <v>23250.45</v>
      </c>
      <c r="I15" s="363" t="s">
        <v>502</v>
      </c>
      <c r="J15" s="363"/>
      <c r="K15" s="363"/>
    </row>
    <row r="16" spans="1:12" s="190" customFormat="1" ht="15" x14ac:dyDescent="0.2">
      <c r="A16" s="362">
        <v>8</v>
      </c>
      <c r="B16" s="362" t="s">
        <v>492</v>
      </c>
      <c r="C16" s="362" t="s">
        <v>498</v>
      </c>
      <c r="D16" s="363" t="s">
        <v>499</v>
      </c>
      <c r="E16" s="363" t="s">
        <v>500</v>
      </c>
      <c r="F16" s="363">
        <v>2016</v>
      </c>
      <c r="G16" s="363" t="s">
        <v>508</v>
      </c>
      <c r="H16" s="363">
        <v>23250.45</v>
      </c>
      <c r="I16" s="363" t="s">
        <v>502</v>
      </c>
      <c r="J16" s="363"/>
      <c r="K16" s="363"/>
    </row>
    <row r="17" spans="1:11" s="190" customFormat="1" ht="15" x14ac:dyDescent="0.2">
      <c r="A17" s="362">
        <v>9</v>
      </c>
      <c r="B17" s="362" t="s">
        <v>492</v>
      </c>
      <c r="C17" s="362" t="s">
        <v>498</v>
      </c>
      <c r="D17" s="363" t="s">
        <v>499</v>
      </c>
      <c r="E17" s="363" t="s">
        <v>500</v>
      </c>
      <c r="F17" s="363">
        <v>2016</v>
      </c>
      <c r="G17" s="363" t="s">
        <v>509</v>
      </c>
      <c r="H17" s="363">
        <v>23250.45</v>
      </c>
      <c r="I17" s="363" t="s">
        <v>502</v>
      </c>
      <c r="J17" s="363"/>
      <c r="K17" s="363"/>
    </row>
    <row r="18" spans="1:11" s="190" customFormat="1" ht="15" x14ac:dyDescent="0.2">
      <c r="A18" s="362">
        <v>10</v>
      </c>
      <c r="B18" s="362" t="s">
        <v>492</v>
      </c>
      <c r="C18" s="362" t="s">
        <v>498</v>
      </c>
      <c r="D18" s="363" t="s">
        <v>499</v>
      </c>
      <c r="E18" s="363" t="s">
        <v>500</v>
      </c>
      <c r="F18" s="363">
        <v>2016</v>
      </c>
      <c r="G18" s="363" t="s">
        <v>510</v>
      </c>
      <c r="H18" s="363">
        <v>23250.45</v>
      </c>
      <c r="I18" s="363" t="s">
        <v>502</v>
      </c>
      <c r="J18" s="363"/>
      <c r="K18" s="363"/>
    </row>
    <row r="19" spans="1:11" s="190" customFormat="1" ht="15" x14ac:dyDescent="0.2">
      <c r="A19" s="362">
        <v>11</v>
      </c>
      <c r="B19" s="362" t="s">
        <v>492</v>
      </c>
      <c r="C19" s="362" t="s">
        <v>498</v>
      </c>
      <c r="D19" s="363" t="s">
        <v>499</v>
      </c>
      <c r="E19" s="363" t="s">
        <v>500</v>
      </c>
      <c r="F19" s="363">
        <v>2016</v>
      </c>
      <c r="G19" s="363" t="s">
        <v>511</v>
      </c>
      <c r="H19" s="363">
        <v>24757.46</v>
      </c>
      <c r="I19" s="363" t="s">
        <v>502</v>
      </c>
      <c r="J19" s="363"/>
      <c r="K19" s="363"/>
    </row>
    <row r="20" spans="1:11" s="190" customFormat="1" ht="30" x14ac:dyDescent="0.2">
      <c r="A20" s="436">
        <v>12</v>
      </c>
      <c r="B20" s="436" t="s">
        <v>512</v>
      </c>
      <c r="C20" s="436" t="s">
        <v>498</v>
      </c>
      <c r="D20" s="436" t="s">
        <v>1071</v>
      </c>
      <c r="E20" s="436" t="s">
        <v>1072</v>
      </c>
      <c r="F20" s="436" t="s">
        <v>1073</v>
      </c>
      <c r="G20" s="363" t="s">
        <v>1074</v>
      </c>
      <c r="H20" s="494">
        <v>5900</v>
      </c>
      <c r="I20" s="363"/>
      <c r="J20" s="494">
        <v>205143824</v>
      </c>
      <c r="K20" s="494" t="s">
        <v>1075</v>
      </c>
    </row>
    <row r="21" spans="1:11" s="190" customFormat="1" ht="30" x14ac:dyDescent="0.2">
      <c r="A21" s="436">
        <v>13</v>
      </c>
      <c r="B21" s="436" t="s">
        <v>512</v>
      </c>
      <c r="C21" s="436" t="s">
        <v>1076</v>
      </c>
      <c r="D21" s="436" t="s">
        <v>1077</v>
      </c>
      <c r="E21" s="436" t="s">
        <v>1078</v>
      </c>
      <c r="F21" s="436" t="s">
        <v>1079</v>
      </c>
      <c r="G21" s="363" t="s">
        <v>1080</v>
      </c>
      <c r="H21" s="495"/>
      <c r="I21" s="363"/>
      <c r="J21" s="495"/>
      <c r="K21" s="495"/>
    </row>
    <row r="22" spans="1:11" s="190" customFormat="1" ht="30" x14ac:dyDescent="0.2">
      <c r="A22" s="436">
        <v>14</v>
      </c>
      <c r="B22" s="436" t="s">
        <v>512</v>
      </c>
      <c r="C22" s="436" t="s">
        <v>1076</v>
      </c>
      <c r="D22" s="436" t="s">
        <v>1071</v>
      </c>
      <c r="E22" s="436" t="s">
        <v>1081</v>
      </c>
      <c r="F22" s="436" t="s">
        <v>1082</v>
      </c>
      <c r="G22" s="363" t="s">
        <v>1083</v>
      </c>
      <c r="H22" s="495"/>
      <c r="I22" s="363"/>
      <c r="J22" s="495"/>
      <c r="K22" s="495"/>
    </row>
    <row r="23" spans="1:11" s="190" customFormat="1" ht="30" x14ac:dyDescent="0.2">
      <c r="A23" s="436">
        <v>15</v>
      </c>
      <c r="B23" s="436" t="s">
        <v>512</v>
      </c>
      <c r="C23" s="436" t="s">
        <v>1076</v>
      </c>
      <c r="D23" s="436" t="s">
        <v>1077</v>
      </c>
      <c r="E23" s="436" t="s">
        <v>1078</v>
      </c>
      <c r="F23" s="436" t="s">
        <v>1084</v>
      </c>
      <c r="G23" s="363" t="s">
        <v>1085</v>
      </c>
      <c r="H23" s="495"/>
      <c r="I23" s="363"/>
      <c r="J23" s="495"/>
      <c r="K23" s="495"/>
    </row>
    <row r="24" spans="1:11" s="190" customFormat="1" ht="30" x14ac:dyDescent="0.2">
      <c r="A24" s="436">
        <v>16</v>
      </c>
      <c r="B24" s="436" t="s">
        <v>512</v>
      </c>
      <c r="C24" s="436" t="s">
        <v>1076</v>
      </c>
      <c r="D24" s="436" t="s">
        <v>1086</v>
      </c>
      <c r="E24" s="436" t="s">
        <v>1087</v>
      </c>
      <c r="F24" s="436" t="s">
        <v>1079</v>
      </c>
      <c r="G24" s="363" t="s">
        <v>1088</v>
      </c>
      <c r="H24" s="495"/>
      <c r="I24" s="363"/>
      <c r="J24" s="495"/>
      <c r="K24" s="495"/>
    </row>
    <row r="25" spans="1:11" s="190" customFormat="1" ht="30" x14ac:dyDescent="0.2">
      <c r="A25" s="436">
        <v>17</v>
      </c>
      <c r="B25" s="436" t="s">
        <v>512</v>
      </c>
      <c r="C25" s="436" t="s">
        <v>498</v>
      </c>
      <c r="D25" s="436" t="s">
        <v>1071</v>
      </c>
      <c r="E25" s="436" t="s">
        <v>1089</v>
      </c>
      <c r="F25" s="436" t="s">
        <v>1090</v>
      </c>
      <c r="G25" s="363" t="s">
        <v>1091</v>
      </c>
      <c r="H25" s="495"/>
      <c r="I25" s="363"/>
      <c r="J25" s="495"/>
      <c r="K25" s="495"/>
    </row>
    <row r="26" spans="1:11" s="190" customFormat="1" ht="30" x14ac:dyDescent="0.2">
      <c r="A26" s="436">
        <v>18</v>
      </c>
      <c r="B26" s="436" t="s">
        <v>512</v>
      </c>
      <c r="C26" s="436" t="s">
        <v>498</v>
      </c>
      <c r="D26" s="436" t="s">
        <v>1071</v>
      </c>
      <c r="E26" s="436" t="s">
        <v>1092</v>
      </c>
      <c r="F26" s="436" t="s">
        <v>1093</v>
      </c>
      <c r="G26" s="363" t="s">
        <v>1094</v>
      </c>
      <c r="H26" s="496"/>
      <c r="I26" s="363"/>
      <c r="J26" s="496"/>
      <c r="K26" s="496"/>
    </row>
    <row r="27" spans="1:11" s="190" customFormat="1" ht="15" x14ac:dyDescent="0.2">
      <c r="A27" s="362" t="s">
        <v>261</v>
      </c>
      <c r="B27" s="362"/>
      <c r="C27" s="362"/>
      <c r="D27" s="363"/>
      <c r="E27" s="363"/>
      <c r="F27" s="363"/>
      <c r="G27" s="363"/>
      <c r="H27" s="363"/>
      <c r="I27" s="363"/>
      <c r="J27" s="363"/>
      <c r="K27" s="363"/>
    </row>
    <row r="28" spans="1:11" x14ac:dyDescent="0.2">
      <c r="A28" s="367"/>
      <c r="B28" s="367"/>
      <c r="C28" s="367"/>
      <c r="D28" s="367"/>
      <c r="E28" s="367"/>
      <c r="F28" s="367"/>
      <c r="G28" s="367"/>
      <c r="H28" s="367"/>
      <c r="I28" s="367"/>
      <c r="J28" s="367"/>
      <c r="K28" s="367"/>
    </row>
    <row r="29" spans="1:11" x14ac:dyDescent="0.2">
      <c r="A29" s="367"/>
      <c r="B29" s="367"/>
      <c r="C29" s="367"/>
      <c r="D29" s="367"/>
      <c r="E29" s="367"/>
      <c r="F29" s="367"/>
      <c r="G29" s="367"/>
      <c r="H29" s="367"/>
      <c r="I29" s="367"/>
      <c r="J29" s="367"/>
      <c r="K29" s="367"/>
    </row>
    <row r="30" spans="1:11" ht="15" x14ac:dyDescent="0.3">
      <c r="A30" s="368"/>
      <c r="B30" s="368"/>
      <c r="C30" s="368"/>
      <c r="D30" s="367"/>
      <c r="E30" s="367"/>
      <c r="F30" s="367"/>
      <c r="G30" s="367"/>
      <c r="H30" s="367"/>
      <c r="I30" s="367"/>
      <c r="J30" s="367"/>
      <c r="K30" s="367"/>
    </row>
    <row r="31" spans="1:11" ht="15" x14ac:dyDescent="0.3">
      <c r="A31" s="369"/>
      <c r="B31" s="369"/>
      <c r="C31" s="369"/>
      <c r="D31" s="370" t="s">
        <v>96</v>
      </c>
      <c r="E31" s="369"/>
      <c r="F31" s="369"/>
      <c r="G31" s="371"/>
      <c r="H31" s="369"/>
      <c r="I31" s="369"/>
      <c r="J31" s="369"/>
      <c r="K31" s="369"/>
    </row>
    <row r="32" spans="1:11" ht="15" x14ac:dyDescent="0.3">
      <c r="A32" s="369"/>
      <c r="B32" s="369"/>
      <c r="C32" s="369"/>
      <c r="D32" s="369"/>
      <c r="E32" s="372"/>
      <c r="F32" s="369"/>
      <c r="H32" s="372"/>
      <c r="I32" s="372"/>
      <c r="J32" s="373"/>
    </row>
    <row r="33" spans="4:9" ht="15" x14ac:dyDescent="0.3">
      <c r="D33" s="369"/>
      <c r="E33" s="374" t="s">
        <v>251</v>
      </c>
      <c r="F33" s="369"/>
      <c r="H33" s="375" t="s">
        <v>256</v>
      </c>
      <c r="I33" s="375"/>
    </row>
    <row r="34" spans="4:9" ht="15" x14ac:dyDescent="0.3">
      <c r="D34" s="369"/>
      <c r="E34" s="376" t="s">
        <v>127</v>
      </c>
      <c r="F34" s="369"/>
      <c r="H34" s="369" t="s">
        <v>252</v>
      </c>
      <c r="I34" s="369"/>
    </row>
    <row r="35" spans="4:9" ht="15" x14ac:dyDescent="0.3">
      <c r="D35" s="369"/>
      <c r="E35" s="376"/>
    </row>
  </sheetData>
  <mergeCells count="4">
    <mergeCell ref="K2:L2"/>
    <mergeCell ref="H20:H26"/>
    <mergeCell ref="J20:J26"/>
    <mergeCell ref="K20:K26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view="pageBreakPreview" zoomScale="80" zoomScaleNormal="100" zoomScaleSheetLayoutView="80" workbookViewId="0">
      <selection activeCell="I2" sqref="I2:J2"/>
    </sheetView>
  </sheetViews>
  <sheetFormatPr defaultColWidth="9.140625" defaultRowHeight="12.75" x14ac:dyDescent="0.2"/>
  <cols>
    <col min="1" max="1" width="11.7109375" style="176" customWidth="1"/>
    <col min="2" max="2" width="21.5703125" style="176" customWidth="1"/>
    <col min="3" max="3" width="19.140625" style="176" customWidth="1"/>
    <col min="4" max="4" width="23.7109375" style="176" customWidth="1"/>
    <col min="5" max="6" width="16.5703125" style="176" bestFit="1" customWidth="1"/>
    <col min="7" max="7" width="17" style="176" customWidth="1"/>
    <col min="8" max="8" width="19" style="176" customWidth="1"/>
    <col min="9" max="9" width="24.42578125" style="176" customWidth="1"/>
    <col min="10" max="16384" width="9.140625" style="176"/>
  </cols>
  <sheetData>
    <row r="1" spans="1:13" customFormat="1" ht="15" x14ac:dyDescent="0.2">
      <c r="A1" s="134" t="s">
        <v>395</v>
      </c>
      <c r="B1" s="135"/>
      <c r="C1" s="135"/>
      <c r="D1" s="135"/>
      <c r="E1" s="135"/>
      <c r="F1" s="135"/>
      <c r="G1" s="135"/>
      <c r="H1" s="141"/>
      <c r="I1" s="76" t="s">
        <v>97</v>
      </c>
    </row>
    <row r="2" spans="1:13" customFormat="1" ht="15" x14ac:dyDescent="0.3">
      <c r="A2" s="103" t="s">
        <v>128</v>
      </c>
      <c r="B2" s="135"/>
      <c r="C2" s="135"/>
      <c r="D2" s="135"/>
      <c r="E2" s="135"/>
      <c r="F2" s="135"/>
      <c r="G2" s="135"/>
      <c r="H2" s="141"/>
      <c r="I2" s="513" t="s">
        <v>1113</v>
      </c>
      <c r="J2" s="514"/>
    </row>
    <row r="3" spans="1:13" customFormat="1" ht="15" x14ac:dyDescent="0.2">
      <c r="A3" s="135"/>
      <c r="B3" s="135"/>
      <c r="C3" s="135"/>
      <c r="D3" s="135"/>
      <c r="E3" s="135"/>
      <c r="F3" s="135"/>
      <c r="G3" s="135"/>
      <c r="H3" s="138"/>
      <c r="I3" s="138"/>
      <c r="M3" s="176"/>
    </row>
    <row r="4" spans="1:13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135"/>
      <c r="E4" s="135"/>
      <c r="F4" s="135"/>
      <c r="G4" s="135"/>
      <c r="H4" s="135"/>
      <c r="I4" s="143"/>
    </row>
    <row r="5" spans="1:13" ht="15" x14ac:dyDescent="0.3">
      <c r="A5" s="195" t="str">
        <f>'ფორმა N1'!A5</f>
        <v>მპგ ,, ქართული ოცნება დემოკრატიული საქართველო"</v>
      </c>
      <c r="B5" s="78"/>
      <c r="C5" s="78"/>
      <c r="D5" s="197"/>
      <c r="E5" s="197"/>
      <c r="F5" s="197"/>
      <c r="G5" s="197"/>
      <c r="H5" s="197"/>
      <c r="I5" s="196"/>
    </row>
    <row r="6" spans="1:13" customFormat="1" ht="13.5" x14ac:dyDescent="0.2">
      <c r="A6" s="139"/>
      <c r="B6" s="140"/>
      <c r="C6" s="140"/>
      <c r="D6" s="135"/>
      <c r="E6" s="135"/>
      <c r="F6" s="135"/>
      <c r="G6" s="135"/>
      <c r="H6" s="135"/>
      <c r="I6" s="135"/>
    </row>
    <row r="7" spans="1:13" customFormat="1" ht="60" x14ac:dyDescent="0.2">
      <c r="A7" s="144" t="s">
        <v>64</v>
      </c>
      <c r="B7" s="133" t="s">
        <v>347</v>
      </c>
      <c r="C7" s="133" t="s">
        <v>348</v>
      </c>
      <c r="D7" s="133" t="s">
        <v>353</v>
      </c>
      <c r="E7" s="133" t="s">
        <v>354</v>
      </c>
      <c r="F7" s="133" t="s">
        <v>349</v>
      </c>
      <c r="G7" s="133" t="s">
        <v>350</v>
      </c>
      <c r="H7" s="133" t="s">
        <v>361</v>
      </c>
      <c r="I7" s="133" t="s">
        <v>351</v>
      </c>
    </row>
    <row r="8" spans="1:13" customFormat="1" ht="15" x14ac:dyDescent="0.2">
      <c r="A8" s="131">
        <v>1</v>
      </c>
      <c r="B8" s="131">
        <v>2</v>
      </c>
      <c r="C8" s="133">
        <v>3</v>
      </c>
      <c r="D8" s="131">
        <v>6</v>
      </c>
      <c r="E8" s="133">
        <v>7</v>
      </c>
      <c r="F8" s="131">
        <v>8</v>
      </c>
      <c r="G8" s="131">
        <v>9</v>
      </c>
      <c r="H8" s="131">
        <v>10</v>
      </c>
      <c r="I8" s="133">
        <v>11</v>
      </c>
    </row>
    <row r="9" spans="1:13" customFormat="1" ht="15" x14ac:dyDescent="0.2">
      <c r="A9" s="65">
        <v>1</v>
      </c>
      <c r="B9" s="26"/>
      <c r="C9" s="26"/>
      <c r="D9" s="26"/>
      <c r="E9" s="26"/>
      <c r="F9" s="194"/>
      <c r="G9" s="194"/>
      <c r="H9" s="194"/>
      <c r="I9" s="26"/>
    </row>
    <row r="10" spans="1:13" customFormat="1" ht="15" x14ac:dyDescent="0.2">
      <c r="A10" s="65">
        <v>2</v>
      </c>
      <c r="B10" s="26"/>
      <c r="C10" s="26"/>
      <c r="D10" s="26"/>
      <c r="E10" s="26"/>
      <c r="F10" s="194"/>
      <c r="G10" s="194"/>
      <c r="H10" s="194"/>
      <c r="I10" s="26"/>
    </row>
    <row r="11" spans="1:13" customFormat="1" ht="15" x14ac:dyDescent="0.2">
      <c r="A11" s="65">
        <v>3</v>
      </c>
      <c r="B11" s="26"/>
      <c r="C11" s="26"/>
      <c r="D11" s="26"/>
      <c r="E11" s="26"/>
      <c r="F11" s="194"/>
      <c r="G11" s="194"/>
      <c r="H11" s="194"/>
      <c r="I11" s="26"/>
    </row>
    <row r="12" spans="1:13" customFormat="1" ht="15" x14ac:dyDescent="0.2">
      <c r="A12" s="65">
        <v>4</v>
      </c>
      <c r="B12" s="26"/>
      <c r="C12" s="26"/>
      <c r="D12" s="26"/>
      <c r="E12" s="26"/>
      <c r="F12" s="194"/>
      <c r="G12" s="194"/>
      <c r="H12" s="194"/>
      <c r="I12" s="26"/>
    </row>
    <row r="13" spans="1:13" customFormat="1" ht="15" x14ac:dyDescent="0.2">
      <c r="A13" s="65">
        <v>5</v>
      </c>
      <c r="B13" s="26"/>
      <c r="C13" s="26"/>
      <c r="D13" s="26"/>
      <c r="E13" s="26"/>
      <c r="F13" s="194"/>
      <c r="G13" s="194"/>
      <c r="H13" s="194"/>
      <c r="I13" s="26"/>
    </row>
    <row r="14" spans="1:13" customFormat="1" ht="15" x14ac:dyDescent="0.2">
      <c r="A14" s="65">
        <v>6</v>
      </c>
      <c r="B14" s="26"/>
      <c r="C14" s="26"/>
      <c r="D14" s="26"/>
      <c r="E14" s="26"/>
      <c r="F14" s="194"/>
      <c r="G14" s="194"/>
      <c r="H14" s="194"/>
      <c r="I14" s="26"/>
    </row>
    <row r="15" spans="1:13" customFormat="1" ht="15" x14ac:dyDescent="0.2">
      <c r="A15" s="65">
        <v>7</v>
      </c>
      <c r="B15" s="26"/>
      <c r="C15" s="26"/>
      <c r="D15" s="26"/>
      <c r="E15" s="26"/>
      <c r="F15" s="194"/>
      <c r="G15" s="194"/>
      <c r="H15" s="194"/>
      <c r="I15" s="26"/>
    </row>
    <row r="16" spans="1:13" customFormat="1" ht="15" x14ac:dyDescent="0.2">
      <c r="A16" s="65">
        <v>8</v>
      </c>
      <c r="B16" s="26"/>
      <c r="C16" s="26"/>
      <c r="D16" s="26"/>
      <c r="E16" s="26"/>
      <c r="F16" s="194"/>
      <c r="G16" s="194"/>
      <c r="H16" s="194"/>
      <c r="I16" s="26"/>
    </row>
    <row r="17" spans="1:9" customFormat="1" ht="15" x14ac:dyDescent="0.2">
      <c r="A17" s="65">
        <v>9</v>
      </c>
      <c r="B17" s="26"/>
      <c r="C17" s="26"/>
      <c r="D17" s="26"/>
      <c r="E17" s="26"/>
      <c r="F17" s="194"/>
      <c r="G17" s="194"/>
      <c r="H17" s="194"/>
      <c r="I17" s="26"/>
    </row>
    <row r="18" spans="1:9" customFormat="1" ht="15" x14ac:dyDescent="0.2">
      <c r="A18" s="65">
        <v>10</v>
      </c>
      <c r="B18" s="26"/>
      <c r="C18" s="26"/>
      <c r="D18" s="26"/>
      <c r="E18" s="26"/>
      <c r="F18" s="194"/>
      <c r="G18" s="194"/>
      <c r="H18" s="194"/>
      <c r="I18" s="26"/>
    </row>
    <row r="19" spans="1:9" customFormat="1" ht="15" x14ac:dyDescent="0.2">
      <c r="A19" s="65" t="s">
        <v>261</v>
      </c>
      <c r="B19" s="26"/>
      <c r="C19" s="26"/>
      <c r="D19" s="26"/>
      <c r="E19" s="26"/>
      <c r="F19" s="194"/>
      <c r="G19" s="194"/>
      <c r="H19" s="194"/>
      <c r="I19" s="26"/>
    </row>
    <row r="20" spans="1:9" x14ac:dyDescent="0.2">
      <c r="A20" s="198"/>
      <c r="B20" s="198"/>
      <c r="C20" s="198"/>
      <c r="D20" s="198"/>
      <c r="E20" s="198"/>
      <c r="F20" s="198"/>
      <c r="G20" s="198"/>
      <c r="H20" s="198"/>
      <c r="I20" s="198"/>
    </row>
    <row r="21" spans="1:9" x14ac:dyDescent="0.2">
      <c r="A21" s="198"/>
      <c r="B21" s="198"/>
      <c r="C21" s="198"/>
      <c r="D21" s="198"/>
      <c r="E21" s="198"/>
      <c r="F21" s="198"/>
      <c r="G21" s="198"/>
      <c r="H21" s="198"/>
      <c r="I21" s="198"/>
    </row>
    <row r="22" spans="1:9" ht="15" x14ac:dyDescent="0.3">
      <c r="A22" s="199"/>
      <c r="B22" s="198"/>
      <c r="C22" s="198"/>
      <c r="D22" s="198"/>
      <c r="E22" s="198"/>
      <c r="F22" s="198"/>
      <c r="G22" s="198"/>
      <c r="H22" s="198"/>
      <c r="I22" s="198"/>
    </row>
    <row r="23" spans="1:9" ht="15" x14ac:dyDescent="0.3">
      <c r="A23" s="175"/>
      <c r="B23" s="177" t="s">
        <v>96</v>
      </c>
      <c r="C23" s="175"/>
      <c r="D23" s="175"/>
      <c r="E23" s="178"/>
      <c r="F23" s="175"/>
      <c r="G23" s="175"/>
      <c r="H23" s="175"/>
      <c r="I23" s="175"/>
    </row>
    <row r="24" spans="1:9" ht="15" x14ac:dyDescent="0.3">
      <c r="A24" s="175"/>
      <c r="B24" s="175"/>
      <c r="C24" s="179"/>
      <c r="D24" s="175"/>
      <c r="F24" s="179"/>
      <c r="G24" s="203"/>
    </row>
    <row r="25" spans="1:9" ht="15" x14ac:dyDescent="0.3">
      <c r="B25" s="175"/>
      <c r="C25" s="181" t="s">
        <v>251</v>
      </c>
      <c r="D25" s="175"/>
      <c r="F25" s="182" t="s">
        <v>256</v>
      </c>
    </row>
    <row r="26" spans="1:9" ht="15" x14ac:dyDescent="0.3">
      <c r="B26" s="175"/>
      <c r="C26" s="183" t="s">
        <v>127</v>
      </c>
      <c r="D26" s="175"/>
      <c r="F26" s="175" t="s">
        <v>252</v>
      </c>
    </row>
    <row r="27" spans="1:9" ht="15" x14ac:dyDescent="0.3">
      <c r="B27" s="175"/>
      <c r="C27" s="183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view="pageBreakPreview" topLeftCell="A73" zoomScale="80" zoomScaleNormal="100" zoomScaleSheetLayoutView="80" workbookViewId="0">
      <selection activeCell="E89" sqref="E89"/>
    </sheetView>
  </sheetViews>
  <sheetFormatPr defaultColWidth="9.140625" defaultRowHeight="15" x14ac:dyDescent="0.3"/>
  <cols>
    <col min="1" max="1" width="10" style="423" customWidth="1"/>
    <col min="2" max="2" width="20.28515625" style="423" customWidth="1"/>
    <col min="3" max="3" width="30" style="423" customWidth="1"/>
    <col min="4" max="4" width="29" style="423" customWidth="1"/>
    <col min="5" max="5" width="22.5703125" style="423" customWidth="1"/>
    <col min="6" max="6" width="20" style="423" customWidth="1"/>
    <col min="7" max="7" width="29.28515625" style="423" customWidth="1"/>
    <col min="8" max="8" width="27.140625" style="423" customWidth="1"/>
    <col min="9" max="9" width="26.42578125" style="423" customWidth="1"/>
    <col min="10" max="10" width="0.5703125" style="423" customWidth="1"/>
    <col min="11" max="16384" width="9.140625" style="423"/>
  </cols>
  <sheetData>
    <row r="1" spans="1:10" x14ac:dyDescent="0.3">
      <c r="A1" s="441" t="s">
        <v>362</v>
      </c>
      <c r="B1" s="424"/>
      <c r="C1" s="424"/>
      <c r="D1" s="424"/>
      <c r="E1" s="424"/>
      <c r="F1" s="424"/>
      <c r="G1" s="424"/>
      <c r="H1" s="424"/>
      <c r="I1" s="442" t="s">
        <v>186</v>
      </c>
      <c r="J1" s="443"/>
    </row>
    <row r="2" spans="1:10" x14ac:dyDescent="0.3">
      <c r="A2" s="424" t="s">
        <v>128</v>
      </c>
      <c r="B2" s="424"/>
      <c r="C2" s="424"/>
      <c r="D2" s="424"/>
      <c r="E2" s="424"/>
      <c r="F2" s="424"/>
      <c r="G2" s="424"/>
      <c r="H2" s="424"/>
      <c r="I2" s="513" t="s">
        <v>1113</v>
      </c>
      <c r="J2" s="514"/>
    </row>
    <row r="3" spans="1:10" x14ac:dyDescent="0.3">
      <c r="A3" s="424"/>
      <c r="B3" s="424"/>
      <c r="C3" s="424"/>
      <c r="D3" s="424"/>
      <c r="E3" s="424"/>
      <c r="F3" s="424"/>
      <c r="G3" s="424"/>
      <c r="H3" s="424"/>
      <c r="I3" s="444"/>
      <c r="J3" s="443"/>
    </row>
    <row r="4" spans="1:10" x14ac:dyDescent="0.3">
      <c r="A4" s="429" t="str">
        <f>'[3]ფორმა N2'!A4</f>
        <v>ანგარიშვალდებული პირის დასახელება:</v>
      </c>
      <c r="B4" s="424"/>
      <c r="C4" s="424"/>
      <c r="D4" s="424"/>
      <c r="E4" s="424"/>
      <c r="F4" s="424"/>
      <c r="G4" s="424"/>
      <c r="H4" s="424"/>
      <c r="I4" s="424"/>
      <c r="J4" s="427"/>
    </row>
    <row r="5" spans="1:10" x14ac:dyDescent="0.3">
      <c r="A5" s="428" t="str">
        <f>'ფორმა N1'!A5</f>
        <v>მპგ ,, ქართული ოცნება დემოკრატიული საქართველო"</v>
      </c>
      <c r="B5" s="428"/>
      <c r="C5" s="428"/>
      <c r="D5" s="428"/>
      <c r="E5" s="428"/>
      <c r="F5" s="428"/>
      <c r="G5" s="428"/>
      <c r="H5" s="428"/>
      <c r="I5" s="428"/>
      <c r="J5" s="427"/>
    </row>
    <row r="6" spans="1:10" x14ac:dyDescent="0.3">
      <c r="A6" s="429"/>
      <c r="B6" s="424"/>
      <c r="C6" s="424"/>
      <c r="D6" s="424"/>
      <c r="E6" s="424"/>
      <c r="F6" s="424"/>
      <c r="G6" s="424"/>
      <c r="H6" s="424"/>
      <c r="I6" s="424"/>
      <c r="J6" s="427"/>
    </row>
    <row r="7" spans="1:10" x14ac:dyDescent="0.3">
      <c r="A7" s="424"/>
      <c r="B7" s="424"/>
      <c r="C7" s="424"/>
      <c r="D7" s="424"/>
      <c r="E7" s="424"/>
      <c r="F7" s="424"/>
      <c r="G7" s="424"/>
      <c r="H7" s="424"/>
      <c r="I7" s="424"/>
    </row>
    <row r="8" spans="1:10" ht="63.75" customHeight="1" x14ac:dyDescent="0.3">
      <c r="A8" s="445" t="s">
        <v>64</v>
      </c>
      <c r="B8" s="446" t="s">
        <v>344</v>
      </c>
      <c r="C8" s="447" t="s">
        <v>381</v>
      </c>
      <c r="D8" s="447" t="s">
        <v>382</v>
      </c>
      <c r="E8" s="447" t="s">
        <v>345</v>
      </c>
      <c r="F8" s="447" t="s">
        <v>358</v>
      </c>
      <c r="G8" s="447" t="s">
        <v>359</v>
      </c>
      <c r="H8" s="447" t="s">
        <v>383</v>
      </c>
      <c r="I8" s="448" t="s">
        <v>360</v>
      </c>
    </row>
    <row r="9" spans="1:10" ht="30" x14ac:dyDescent="0.3">
      <c r="A9" s="455">
        <v>1</v>
      </c>
      <c r="B9" s="458" t="s">
        <v>513</v>
      </c>
      <c r="C9" s="457" t="s">
        <v>514</v>
      </c>
      <c r="D9" s="457"/>
      <c r="E9" s="456" t="s">
        <v>515</v>
      </c>
      <c r="F9" s="456">
        <v>41437.199999999997</v>
      </c>
      <c r="G9" s="456">
        <v>41437.199999999997</v>
      </c>
      <c r="H9" s="456">
        <v>0</v>
      </c>
      <c r="I9" s="456">
        <v>41437.199999999997</v>
      </c>
    </row>
    <row r="10" spans="1:10" ht="60" x14ac:dyDescent="0.3">
      <c r="A10" s="455">
        <v>2</v>
      </c>
      <c r="B10" s="458" t="s">
        <v>516</v>
      </c>
      <c r="C10" s="457" t="s">
        <v>517</v>
      </c>
      <c r="D10" s="457">
        <v>205282905</v>
      </c>
      <c r="E10" s="456" t="s">
        <v>518</v>
      </c>
      <c r="F10" s="456">
        <v>141390</v>
      </c>
      <c r="G10" s="456">
        <v>141390</v>
      </c>
      <c r="H10" s="456">
        <v>0</v>
      </c>
      <c r="I10" s="456">
        <v>141390</v>
      </c>
    </row>
    <row r="11" spans="1:10" x14ac:dyDescent="0.3">
      <c r="A11" s="455">
        <v>3</v>
      </c>
      <c r="B11" s="458" t="s">
        <v>519</v>
      </c>
      <c r="C11" s="457" t="s">
        <v>520</v>
      </c>
      <c r="D11" s="457">
        <v>60001104537</v>
      </c>
      <c r="E11" s="456" t="s">
        <v>521</v>
      </c>
      <c r="F11" s="456">
        <v>162.5</v>
      </c>
      <c r="G11" s="456">
        <v>162.5</v>
      </c>
      <c r="H11" s="456">
        <v>0</v>
      </c>
      <c r="I11" s="456">
        <v>162.5</v>
      </c>
    </row>
    <row r="12" spans="1:10" x14ac:dyDescent="0.3">
      <c r="A12" s="455">
        <v>4</v>
      </c>
      <c r="B12" s="458" t="s">
        <v>522</v>
      </c>
      <c r="C12" s="457" t="s">
        <v>523</v>
      </c>
      <c r="D12" s="457">
        <v>16001002430</v>
      </c>
      <c r="E12" s="456" t="s">
        <v>521</v>
      </c>
      <c r="F12" s="456">
        <v>100</v>
      </c>
      <c r="G12" s="456">
        <v>100</v>
      </c>
      <c r="H12" s="456">
        <v>0</v>
      </c>
      <c r="I12" s="456">
        <v>100</v>
      </c>
    </row>
    <row r="13" spans="1:10" x14ac:dyDescent="0.3">
      <c r="A13" s="455">
        <v>5</v>
      </c>
      <c r="B13" s="458" t="s">
        <v>522</v>
      </c>
      <c r="C13" s="457" t="s">
        <v>524</v>
      </c>
      <c r="D13" s="457">
        <v>16201033680</v>
      </c>
      <c r="E13" s="456" t="s">
        <v>521</v>
      </c>
      <c r="F13" s="456">
        <v>100</v>
      </c>
      <c r="G13" s="456">
        <v>100</v>
      </c>
      <c r="H13" s="456">
        <v>0</v>
      </c>
      <c r="I13" s="456">
        <v>100</v>
      </c>
    </row>
    <row r="14" spans="1:10" x14ac:dyDescent="0.3">
      <c r="A14" s="455">
        <v>6</v>
      </c>
      <c r="B14" s="458" t="s">
        <v>519</v>
      </c>
      <c r="C14" s="457" t="s">
        <v>525</v>
      </c>
      <c r="D14" s="457">
        <v>61006053900</v>
      </c>
      <c r="E14" s="456" t="s">
        <v>521</v>
      </c>
      <c r="F14" s="456">
        <v>162.5</v>
      </c>
      <c r="G14" s="456">
        <v>162.5</v>
      </c>
      <c r="H14" s="456">
        <v>0</v>
      </c>
      <c r="I14" s="456">
        <v>162.5</v>
      </c>
    </row>
    <row r="15" spans="1:10" x14ac:dyDescent="0.3">
      <c r="A15" s="455">
        <v>7</v>
      </c>
      <c r="B15" s="458" t="s">
        <v>522</v>
      </c>
      <c r="C15" s="457" t="s">
        <v>526</v>
      </c>
      <c r="D15" s="457">
        <v>61008001136</v>
      </c>
      <c r="E15" s="456" t="s">
        <v>521</v>
      </c>
      <c r="F15" s="456">
        <v>125</v>
      </c>
      <c r="G15" s="456">
        <v>125</v>
      </c>
      <c r="H15" s="456">
        <v>0</v>
      </c>
      <c r="I15" s="456">
        <v>125</v>
      </c>
    </row>
    <row r="16" spans="1:10" x14ac:dyDescent="0.3">
      <c r="A16" s="455">
        <v>8</v>
      </c>
      <c r="B16" s="458" t="s">
        <v>519</v>
      </c>
      <c r="C16" s="457" t="s">
        <v>527</v>
      </c>
      <c r="D16" s="457">
        <v>61006068519</v>
      </c>
      <c r="E16" s="456" t="s">
        <v>521</v>
      </c>
      <c r="F16" s="456">
        <v>162.5</v>
      </c>
      <c r="G16" s="456">
        <v>162.5</v>
      </c>
      <c r="H16" s="456">
        <v>0</v>
      </c>
      <c r="I16" s="456">
        <v>162.5</v>
      </c>
    </row>
    <row r="17" spans="1:9" x14ac:dyDescent="0.3">
      <c r="A17" s="455">
        <v>9</v>
      </c>
      <c r="B17" s="458" t="s">
        <v>522</v>
      </c>
      <c r="C17" s="457" t="s">
        <v>528</v>
      </c>
      <c r="D17" s="457">
        <v>61008001937</v>
      </c>
      <c r="E17" s="456" t="s">
        <v>521</v>
      </c>
      <c r="F17" s="456">
        <v>162.5</v>
      </c>
      <c r="G17" s="456">
        <v>162.5</v>
      </c>
      <c r="H17" s="456">
        <v>0</v>
      </c>
      <c r="I17" s="456">
        <v>162.5</v>
      </c>
    </row>
    <row r="18" spans="1:9" x14ac:dyDescent="0.3">
      <c r="A18" s="455">
        <v>10</v>
      </c>
      <c r="B18" s="458" t="s">
        <v>519</v>
      </c>
      <c r="C18" s="457" t="s">
        <v>529</v>
      </c>
      <c r="D18" s="457">
        <v>61006047190</v>
      </c>
      <c r="E18" s="456" t="s">
        <v>521</v>
      </c>
      <c r="F18" s="456">
        <v>162.5</v>
      </c>
      <c r="G18" s="456">
        <v>162.5</v>
      </c>
      <c r="H18" s="456">
        <v>0</v>
      </c>
      <c r="I18" s="456">
        <v>162.5</v>
      </c>
    </row>
    <row r="19" spans="1:9" x14ac:dyDescent="0.3">
      <c r="A19" s="455">
        <v>11</v>
      </c>
      <c r="B19" s="458" t="s">
        <v>522</v>
      </c>
      <c r="C19" s="457" t="s">
        <v>530</v>
      </c>
      <c r="D19" s="457">
        <v>61006053166</v>
      </c>
      <c r="E19" s="456" t="s">
        <v>521</v>
      </c>
      <c r="F19" s="456">
        <v>162.5</v>
      </c>
      <c r="G19" s="456">
        <v>162.5</v>
      </c>
      <c r="H19" s="456">
        <v>0</v>
      </c>
      <c r="I19" s="456">
        <v>162.5</v>
      </c>
    </row>
    <row r="20" spans="1:9" x14ac:dyDescent="0.3">
      <c r="A20" s="455">
        <v>12</v>
      </c>
      <c r="B20" s="458" t="s">
        <v>519</v>
      </c>
      <c r="C20" s="457" t="s">
        <v>531</v>
      </c>
      <c r="D20" s="457" t="s">
        <v>532</v>
      </c>
      <c r="E20" s="456" t="s">
        <v>521</v>
      </c>
      <c r="F20" s="456">
        <v>125</v>
      </c>
      <c r="G20" s="456">
        <v>125</v>
      </c>
      <c r="H20" s="456">
        <v>0</v>
      </c>
      <c r="I20" s="456">
        <v>125</v>
      </c>
    </row>
    <row r="21" spans="1:9" x14ac:dyDescent="0.3">
      <c r="A21" s="455">
        <v>13</v>
      </c>
      <c r="B21" s="458" t="s">
        <v>519</v>
      </c>
      <c r="C21" s="457" t="s">
        <v>533</v>
      </c>
      <c r="D21" s="457" t="s">
        <v>534</v>
      </c>
      <c r="E21" s="456" t="s">
        <v>521</v>
      </c>
      <c r="F21" s="456">
        <v>162.5</v>
      </c>
      <c r="G21" s="456">
        <v>162.5</v>
      </c>
      <c r="H21" s="456">
        <v>0</v>
      </c>
      <c r="I21" s="456">
        <v>162.5</v>
      </c>
    </row>
    <row r="22" spans="1:9" x14ac:dyDescent="0.3">
      <c r="A22" s="455">
        <v>14</v>
      </c>
      <c r="B22" s="458" t="s">
        <v>519</v>
      </c>
      <c r="C22" s="457" t="s">
        <v>535</v>
      </c>
      <c r="D22" s="457" t="s">
        <v>536</v>
      </c>
      <c r="E22" s="456" t="s">
        <v>521</v>
      </c>
      <c r="F22" s="456">
        <v>162.5</v>
      </c>
      <c r="G22" s="456">
        <v>162.5</v>
      </c>
      <c r="H22" s="456">
        <v>0</v>
      </c>
      <c r="I22" s="456">
        <v>162.5</v>
      </c>
    </row>
    <row r="23" spans="1:9" x14ac:dyDescent="0.3">
      <c r="A23" s="455">
        <v>15</v>
      </c>
      <c r="B23" s="458" t="s">
        <v>522</v>
      </c>
      <c r="C23" s="457" t="s">
        <v>537</v>
      </c>
      <c r="D23" s="457" t="s">
        <v>538</v>
      </c>
      <c r="E23" s="456" t="s">
        <v>521</v>
      </c>
      <c r="F23" s="456">
        <v>100</v>
      </c>
      <c r="G23" s="456">
        <v>100</v>
      </c>
      <c r="H23" s="456">
        <v>0</v>
      </c>
      <c r="I23" s="456">
        <v>100</v>
      </c>
    </row>
    <row r="24" spans="1:9" x14ac:dyDescent="0.3">
      <c r="A24" s="455">
        <v>16</v>
      </c>
      <c r="B24" s="458" t="s">
        <v>522</v>
      </c>
      <c r="C24" s="457" t="s">
        <v>539</v>
      </c>
      <c r="D24" s="457" t="s">
        <v>540</v>
      </c>
      <c r="E24" s="456" t="s">
        <v>521</v>
      </c>
      <c r="F24" s="456">
        <v>162.5</v>
      </c>
      <c r="G24" s="456">
        <v>162.5</v>
      </c>
      <c r="H24" s="456">
        <v>0</v>
      </c>
      <c r="I24" s="456">
        <v>162.5</v>
      </c>
    </row>
    <row r="25" spans="1:9" x14ac:dyDescent="0.3">
      <c r="A25" s="455">
        <v>17</v>
      </c>
      <c r="B25" s="458" t="s">
        <v>541</v>
      </c>
      <c r="C25" s="457" t="s">
        <v>542</v>
      </c>
      <c r="D25" s="457" t="s">
        <v>543</v>
      </c>
      <c r="E25" s="456" t="s">
        <v>521</v>
      </c>
      <c r="F25" s="456">
        <v>100</v>
      </c>
      <c r="G25" s="456">
        <v>100</v>
      </c>
      <c r="H25" s="456">
        <v>0</v>
      </c>
      <c r="I25" s="456">
        <v>100</v>
      </c>
    </row>
    <row r="26" spans="1:9" x14ac:dyDescent="0.3">
      <c r="A26" s="455">
        <v>18</v>
      </c>
      <c r="B26" s="458" t="s">
        <v>544</v>
      </c>
      <c r="C26" s="457" t="s">
        <v>545</v>
      </c>
      <c r="D26" s="457" t="s">
        <v>546</v>
      </c>
      <c r="E26" s="456" t="s">
        <v>521</v>
      </c>
      <c r="F26" s="456">
        <v>100</v>
      </c>
      <c r="G26" s="456">
        <v>100</v>
      </c>
      <c r="H26" s="456">
        <v>0</v>
      </c>
      <c r="I26" s="456">
        <v>100</v>
      </c>
    </row>
    <row r="27" spans="1:9" x14ac:dyDescent="0.3">
      <c r="A27" s="455">
        <v>19</v>
      </c>
      <c r="B27" s="458" t="s">
        <v>522</v>
      </c>
      <c r="C27" s="457" t="s">
        <v>547</v>
      </c>
      <c r="D27" s="457" t="s">
        <v>548</v>
      </c>
      <c r="E27" s="456" t="s">
        <v>521</v>
      </c>
      <c r="F27" s="456">
        <v>162.5</v>
      </c>
      <c r="G27" s="456">
        <v>162.5</v>
      </c>
      <c r="H27" s="456">
        <v>0</v>
      </c>
      <c r="I27" s="456">
        <v>162.5</v>
      </c>
    </row>
    <row r="28" spans="1:9" x14ac:dyDescent="0.3">
      <c r="A28" s="455">
        <v>20</v>
      </c>
      <c r="B28" s="458" t="s">
        <v>522</v>
      </c>
      <c r="C28" s="457" t="s">
        <v>549</v>
      </c>
      <c r="D28" s="457" t="s">
        <v>550</v>
      </c>
      <c r="E28" s="456" t="s">
        <v>521</v>
      </c>
      <c r="F28" s="456">
        <v>125</v>
      </c>
      <c r="G28" s="456">
        <v>125</v>
      </c>
      <c r="H28" s="456">
        <v>0</v>
      </c>
      <c r="I28" s="456">
        <v>125</v>
      </c>
    </row>
    <row r="29" spans="1:9" x14ac:dyDescent="0.3">
      <c r="A29" s="455">
        <v>21</v>
      </c>
      <c r="B29" s="458" t="s">
        <v>522</v>
      </c>
      <c r="C29" s="457" t="s">
        <v>551</v>
      </c>
      <c r="D29" s="457" t="s">
        <v>552</v>
      </c>
      <c r="E29" s="456" t="s">
        <v>521</v>
      </c>
      <c r="F29" s="456">
        <v>162.5</v>
      </c>
      <c r="G29" s="456">
        <v>162.5</v>
      </c>
      <c r="H29" s="456">
        <v>0</v>
      </c>
      <c r="I29" s="456">
        <v>162.5</v>
      </c>
    </row>
    <row r="30" spans="1:9" x14ac:dyDescent="0.3">
      <c r="A30" s="455">
        <v>22</v>
      </c>
      <c r="B30" s="458" t="s">
        <v>519</v>
      </c>
      <c r="C30" s="457" t="s">
        <v>553</v>
      </c>
      <c r="D30" s="457" t="s">
        <v>554</v>
      </c>
      <c r="E30" s="456" t="s">
        <v>521</v>
      </c>
      <c r="F30" s="456">
        <v>162.5</v>
      </c>
      <c r="G30" s="456">
        <v>162.5</v>
      </c>
      <c r="H30" s="456">
        <v>0</v>
      </c>
      <c r="I30" s="456">
        <v>162.5</v>
      </c>
    </row>
    <row r="31" spans="1:9" x14ac:dyDescent="0.3">
      <c r="A31" s="455">
        <v>23</v>
      </c>
      <c r="B31" s="458" t="s">
        <v>519</v>
      </c>
      <c r="C31" s="457" t="s">
        <v>555</v>
      </c>
      <c r="D31" s="457" t="s">
        <v>556</v>
      </c>
      <c r="E31" s="456" t="s">
        <v>521</v>
      </c>
      <c r="F31" s="456">
        <v>162.5</v>
      </c>
      <c r="G31" s="456">
        <v>162.5</v>
      </c>
      <c r="H31" s="456">
        <v>0</v>
      </c>
      <c r="I31" s="456">
        <v>162.5</v>
      </c>
    </row>
    <row r="32" spans="1:9" x14ac:dyDescent="0.3">
      <c r="A32" s="455">
        <v>24</v>
      </c>
      <c r="B32" s="458" t="s">
        <v>522</v>
      </c>
      <c r="C32" s="457" t="s">
        <v>557</v>
      </c>
      <c r="D32" s="457" t="s">
        <v>558</v>
      </c>
      <c r="E32" s="456" t="s">
        <v>521</v>
      </c>
      <c r="F32" s="456">
        <v>162.5</v>
      </c>
      <c r="G32" s="456">
        <v>162.5</v>
      </c>
      <c r="H32" s="456">
        <v>0</v>
      </c>
      <c r="I32" s="456">
        <v>162.5</v>
      </c>
    </row>
    <row r="33" spans="1:9" x14ac:dyDescent="0.3">
      <c r="A33" s="455">
        <v>25</v>
      </c>
      <c r="B33" s="458" t="s">
        <v>522</v>
      </c>
      <c r="C33" s="457" t="s">
        <v>559</v>
      </c>
      <c r="D33" s="457" t="s">
        <v>560</v>
      </c>
      <c r="E33" s="456" t="s">
        <v>521</v>
      </c>
      <c r="F33" s="456">
        <v>125</v>
      </c>
      <c r="G33" s="456">
        <v>125</v>
      </c>
      <c r="H33" s="456">
        <v>0</v>
      </c>
      <c r="I33" s="456">
        <v>125</v>
      </c>
    </row>
    <row r="34" spans="1:9" x14ac:dyDescent="0.3">
      <c r="A34" s="455">
        <v>26</v>
      </c>
      <c r="B34" s="458" t="s">
        <v>519</v>
      </c>
      <c r="C34" s="457" t="s">
        <v>561</v>
      </c>
      <c r="D34" s="457" t="s">
        <v>562</v>
      </c>
      <c r="E34" s="456" t="s">
        <v>521</v>
      </c>
      <c r="F34" s="456">
        <v>125</v>
      </c>
      <c r="G34" s="456">
        <v>125</v>
      </c>
      <c r="H34" s="456">
        <v>0</v>
      </c>
      <c r="I34" s="456">
        <v>125</v>
      </c>
    </row>
    <row r="35" spans="1:9" x14ac:dyDescent="0.3">
      <c r="A35" s="455">
        <v>27</v>
      </c>
      <c r="B35" s="458" t="s">
        <v>522</v>
      </c>
      <c r="C35" s="457" t="s">
        <v>563</v>
      </c>
      <c r="D35" s="457" t="s">
        <v>564</v>
      </c>
      <c r="E35" s="456" t="s">
        <v>521</v>
      </c>
      <c r="F35" s="456">
        <v>125</v>
      </c>
      <c r="G35" s="456">
        <v>125</v>
      </c>
      <c r="H35" s="456">
        <v>0</v>
      </c>
      <c r="I35" s="456">
        <v>125</v>
      </c>
    </row>
    <row r="36" spans="1:9" x14ac:dyDescent="0.3">
      <c r="A36" s="455">
        <v>28</v>
      </c>
      <c r="B36" s="458" t="s">
        <v>519</v>
      </c>
      <c r="C36" s="457" t="s">
        <v>565</v>
      </c>
      <c r="D36" s="457" t="s">
        <v>566</v>
      </c>
      <c r="E36" s="456" t="s">
        <v>521</v>
      </c>
      <c r="F36" s="456">
        <v>125</v>
      </c>
      <c r="G36" s="456">
        <v>125</v>
      </c>
      <c r="H36" s="456">
        <v>0</v>
      </c>
      <c r="I36" s="456">
        <v>125</v>
      </c>
    </row>
    <row r="37" spans="1:9" x14ac:dyDescent="0.3">
      <c r="A37" s="455">
        <v>29</v>
      </c>
      <c r="B37" s="458" t="s">
        <v>567</v>
      </c>
      <c r="C37" s="457" t="s">
        <v>568</v>
      </c>
      <c r="D37" s="457" t="s">
        <v>569</v>
      </c>
      <c r="E37" s="456" t="s">
        <v>521</v>
      </c>
      <c r="F37" s="456">
        <v>125</v>
      </c>
      <c r="G37" s="456">
        <v>125</v>
      </c>
      <c r="H37" s="456">
        <v>0</v>
      </c>
      <c r="I37" s="456">
        <v>125</v>
      </c>
    </row>
    <row r="38" spans="1:9" x14ac:dyDescent="0.3">
      <c r="A38" s="455">
        <v>30</v>
      </c>
      <c r="B38" s="458" t="s">
        <v>570</v>
      </c>
      <c r="C38" s="457" t="s">
        <v>571</v>
      </c>
      <c r="D38" s="457" t="s">
        <v>572</v>
      </c>
      <c r="E38" s="456" t="s">
        <v>521</v>
      </c>
      <c r="F38" s="456">
        <v>100</v>
      </c>
      <c r="G38" s="456">
        <v>100</v>
      </c>
      <c r="H38" s="456">
        <v>0</v>
      </c>
      <c r="I38" s="456">
        <v>100</v>
      </c>
    </row>
    <row r="39" spans="1:9" x14ac:dyDescent="0.3">
      <c r="A39" s="455">
        <v>31</v>
      </c>
      <c r="B39" s="458" t="s">
        <v>570</v>
      </c>
      <c r="C39" s="457" t="s">
        <v>573</v>
      </c>
      <c r="D39" s="457" t="s">
        <v>574</v>
      </c>
      <c r="E39" s="456" t="s">
        <v>521</v>
      </c>
      <c r="F39" s="456">
        <v>125</v>
      </c>
      <c r="G39" s="456">
        <v>125</v>
      </c>
      <c r="H39" s="456">
        <v>0</v>
      </c>
      <c r="I39" s="456">
        <v>125</v>
      </c>
    </row>
    <row r="40" spans="1:9" x14ac:dyDescent="0.3">
      <c r="A40" s="455">
        <v>32</v>
      </c>
      <c r="B40" s="458" t="s">
        <v>570</v>
      </c>
      <c r="C40" s="457" t="s">
        <v>575</v>
      </c>
      <c r="D40" s="457" t="s">
        <v>576</v>
      </c>
      <c r="E40" s="456" t="s">
        <v>521</v>
      </c>
      <c r="F40" s="456">
        <v>162.5</v>
      </c>
      <c r="G40" s="456">
        <v>162.5</v>
      </c>
      <c r="H40" s="456">
        <v>0</v>
      </c>
      <c r="I40" s="456">
        <v>162.5</v>
      </c>
    </row>
    <row r="41" spans="1:9" x14ac:dyDescent="0.3">
      <c r="A41" s="455">
        <v>33</v>
      </c>
      <c r="B41" s="458" t="s">
        <v>570</v>
      </c>
      <c r="C41" s="457" t="s">
        <v>577</v>
      </c>
      <c r="D41" s="457" t="s">
        <v>578</v>
      </c>
      <c r="E41" s="456" t="s">
        <v>521</v>
      </c>
      <c r="F41" s="456">
        <v>162.5</v>
      </c>
      <c r="G41" s="456">
        <v>162.5</v>
      </c>
      <c r="H41" s="456">
        <v>0</v>
      </c>
      <c r="I41" s="456">
        <v>162.5</v>
      </c>
    </row>
    <row r="42" spans="1:9" x14ac:dyDescent="0.3">
      <c r="A42" s="455">
        <v>34</v>
      </c>
      <c r="B42" s="458" t="s">
        <v>570</v>
      </c>
      <c r="C42" s="457" t="s">
        <v>579</v>
      </c>
      <c r="D42" s="457" t="s">
        <v>580</v>
      </c>
      <c r="E42" s="456" t="s">
        <v>521</v>
      </c>
      <c r="F42" s="456">
        <v>162.5</v>
      </c>
      <c r="G42" s="456">
        <v>162.5</v>
      </c>
      <c r="H42" s="456">
        <v>0</v>
      </c>
      <c r="I42" s="456">
        <v>162.5</v>
      </c>
    </row>
    <row r="43" spans="1:9" x14ac:dyDescent="0.3">
      <c r="A43" s="455">
        <v>35</v>
      </c>
      <c r="B43" s="458" t="s">
        <v>570</v>
      </c>
      <c r="C43" s="457" t="s">
        <v>581</v>
      </c>
      <c r="D43" s="457" t="s">
        <v>582</v>
      </c>
      <c r="E43" s="456" t="s">
        <v>521</v>
      </c>
      <c r="F43" s="456">
        <v>162.5</v>
      </c>
      <c r="G43" s="456">
        <v>162.5</v>
      </c>
      <c r="H43" s="456">
        <v>0</v>
      </c>
      <c r="I43" s="456">
        <v>162.5</v>
      </c>
    </row>
    <row r="44" spans="1:9" x14ac:dyDescent="0.3">
      <c r="A44" s="455">
        <v>36</v>
      </c>
      <c r="B44" s="458" t="s">
        <v>570</v>
      </c>
      <c r="C44" s="457" t="s">
        <v>583</v>
      </c>
      <c r="D44" s="457" t="s">
        <v>584</v>
      </c>
      <c r="E44" s="456" t="s">
        <v>521</v>
      </c>
      <c r="F44" s="456">
        <v>125</v>
      </c>
      <c r="G44" s="456">
        <v>125</v>
      </c>
      <c r="H44" s="456">
        <v>0</v>
      </c>
      <c r="I44" s="456">
        <v>125</v>
      </c>
    </row>
    <row r="45" spans="1:9" x14ac:dyDescent="0.3">
      <c r="A45" s="455">
        <v>37</v>
      </c>
      <c r="B45" s="458" t="s">
        <v>585</v>
      </c>
      <c r="C45" s="457" t="s">
        <v>586</v>
      </c>
      <c r="D45" s="457" t="s">
        <v>587</v>
      </c>
      <c r="E45" s="456" t="s">
        <v>588</v>
      </c>
      <c r="F45" s="456">
        <v>250</v>
      </c>
      <c r="G45" s="456">
        <v>250</v>
      </c>
      <c r="H45" s="456">
        <v>0</v>
      </c>
      <c r="I45" s="456">
        <v>250</v>
      </c>
    </row>
    <row r="46" spans="1:9" x14ac:dyDescent="0.3">
      <c r="A46" s="455">
        <v>38</v>
      </c>
      <c r="B46" s="458" t="s">
        <v>585</v>
      </c>
      <c r="C46" s="457" t="s">
        <v>589</v>
      </c>
      <c r="D46" s="457" t="s">
        <v>590</v>
      </c>
      <c r="E46" s="456" t="s">
        <v>588</v>
      </c>
      <c r="F46" s="456">
        <v>375</v>
      </c>
      <c r="G46" s="456">
        <v>375</v>
      </c>
      <c r="H46" s="456">
        <v>0</v>
      </c>
      <c r="I46" s="456">
        <v>375</v>
      </c>
    </row>
    <row r="47" spans="1:9" x14ac:dyDescent="0.3">
      <c r="A47" s="455">
        <v>39</v>
      </c>
      <c r="B47" s="458" t="s">
        <v>591</v>
      </c>
      <c r="C47" s="457" t="s">
        <v>592</v>
      </c>
      <c r="D47" s="457" t="s">
        <v>593</v>
      </c>
      <c r="E47" s="456" t="s">
        <v>588</v>
      </c>
      <c r="F47" s="456">
        <v>3125</v>
      </c>
      <c r="G47" s="456">
        <v>3125</v>
      </c>
      <c r="H47" s="456">
        <v>0</v>
      </c>
      <c r="I47" s="456">
        <v>3125</v>
      </c>
    </row>
    <row r="48" spans="1:9" x14ac:dyDescent="0.3">
      <c r="A48" s="455">
        <v>40</v>
      </c>
      <c r="B48" s="458" t="s">
        <v>591</v>
      </c>
      <c r="C48" s="457" t="s">
        <v>594</v>
      </c>
      <c r="D48" s="457" t="s">
        <v>595</v>
      </c>
      <c r="E48" s="456" t="s">
        <v>588</v>
      </c>
      <c r="F48" s="456">
        <v>500</v>
      </c>
      <c r="G48" s="456">
        <v>500</v>
      </c>
      <c r="H48" s="456">
        <v>0</v>
      </c>
      <c r="I48" s="456">
        <v>500</v>
      </c>
    </row>
    <row r="49" spans="1:9" x14ac:dyDescent="0.3">
      <c r="A49" s="455">
        <v>41</v>
      </c>
      <c r="B49" s="458" t="s">
        <v>591</v>
      </c>
      <c r="C49" s="457" t="s">
        <v>596</v>
      </c>
      <c r="D49" s="457" t="s">
        <v>597</v>
      </c>
      <c r="E49" s="456" t="s">
        <v>588</v>
      </c>
      <c r="F49" s="456">
        <v>520.83000000000004</v>
      </c>
      <c r="G49" s="456">
        <v>520.83000000000004</v>
      </c>
      <c r="H49" s="456">
        <v>0</v>
      </c>
      <c r="I49" s="456">
        <v>520.83000000000004</v>
      </c>
    </row>
    <row r="50" spans="1:9" x14ac:dyDescent="0.3">
      <c r="A50" s="455">
        <v>42</v>
      </c>
      <c r="B50" s="458" t="s">
        <v>591</v>
      </c>
      <c r="C50" s="457" t="s">
        <v>598</v>
      </c>
      <c r="D50" s="457" t="s">
        <v>599</v>
      </c>
      <c r="E50" s="456" t="s">
        <v>588</v>
      </c>
      <c r="F50" s="456">
        <v>1375</v>
      </c>
      <c r="G50" s="456">
        <v>1375</v>
      </c>
      <c r="H50" s="456">
        <v>0</v>
      </c>
      <c r="I50" s="456">
        <v>1375</v>
      </c>
    </row>
    <row r="51" spans="1:9" x14ac:dyDescent="0.3">
      <c r="A51" s="455">
        <v>43</v>
      </c>
      <c r="B51" s="458" t="s">
        <v>591</v>
      </c>
      <c r="C51" s="457" t="s">
        <v>600</v>
      </c>
      <c r="D51" s="457" t="s">
        <v>601</v>
      </c>
      <c r="E51" s="456" t="s">
        <v>588</v>
      </c>
      <c r="F51" s="456">
        <v>1375</v>
      </c>
      <c r="G51" s="456">
        <v>1375</v>
      </c>
      <c r="H51" s="456">
        <v>0</v>
      </c>
      <c r="I51" s="456">
        <v>1375</v>
      </c>
    </row>
    <row r="52" spans="1:9" x14ac:dyDescent="0.3">
      <c r="A52" s="455">
        <v>44</v>
      </c>
      <c r="B52" s="458" t="s">
        <v>602</v>
      </c>
      <c r="C52" s="457" t="s">
        <v>603</v>
      </c>
      <c r="D52" s="457">
        <v>404897215</v>
      </c>
      <c r="E52" s="456" t="s">
        <v>604</v>
      </c>
      <c r="F52" s="456">
        <v>110</v>
      </c>
      <c r="G52" s="456">
        <v>110</v>
      </c>
      <c r="H52" s="456">
        <v>0</v>
      </c>
      <c r="I52" s="456">
        <v>110</v>
      </c>
    </row>
    <row r="53" spans="1:9" x14ac:dyDescent="0.3">
      <c r="A53" s="455">
        <v>45</v>
      </c>
      <c r="B53" s="458" t="s">
        <v>605</v>
      </c>
      <c r="C53" s="457" t="s">
        <v>606</v>
      </c>
      <c r="D53" s="457"/>
      <c r="E53" s="456" t="s">
        <v>607</v>
      </c>
      <c r="F53" s="456">
        <v>544069.96</v>
      </c>
      <c r="G53" s="456">
        <v>544069.96</v>
      </c>
      <c r="H53" s="456">
        <v>0</v>
      </c>
      <c r="I53" s="456">
        <v>544069.96</v>
      </c>
    </row>
    <row r="54" spans="1:9" x14ac:dyDescent="0.3">
      <c r="A54" s="455">
        <v>46</v>
      </c>
      <c r="B54" s="458" t="s">
        <v>591</v>
      </c>
      <c r="C54" s="457" t="s">
        <v>608</v>
      </c>
      <c r="D54" s="457" t="s">
        <v>609</v>
      </c>
      <c r="E54" s="456" t="s">
        <v>610</v>
      </c>
      <c r="F54" s="456">
        <v>0.3</v>
      </c>
      <c r="G54" s="456">
        <v>0.3</v>
      </c>
      <c r="H54" s="456">
        <v>0</v>
      </c>
      <c r="I54" s="456">
        <v>0.3</v>
      </c>
    </row>
    <row r="55" spans="1:9" x14ac:dyDescent="0.3">
      <c r="A55" s="455">
        <v>47</v>
      </c>
      <c r="B55" s="458" t="s">
        <v>611</v>
      </c>
      <c r="C55" s="457" t="s">
        <v>612</v>
      </c>
      <c r="D55" s="457" t="s">
        <v>613</v>
      </c>
      <c r="E55" s="456"/>
      <c r="F55" s="456">
        <v>1412.48</v>
      </c>
      <c r="G55" s="456">
        <v>1412.48</v>
      </c>
      <c r="H55" s="456">
        <v>0</v>
      </c>
      <c r="I55" s="456">
        <v>1412.48</v>
      </c>
    </row>
    <row r="56" spans="1:9" x14ac:dyDescent="0.3">
      <c r="A56" s="455">
        <v>48</v>
      </c>
      <c r="B56" s="458" t="s">
        <v>614</v>
      </c>
      <c r="C56" s="457" t="s">
        <v>615</v>
      </c>
      <c r="D56" s="457" t="s">
        <v>616</v>
      </c>
      <c r="E56" s="456" t="s">
        <v>610</v>
      </c>
      <c r="F56" s="456">
        <v>541.53</v>
      </c>
      <c r="G56" s="456">
        <v>541.53</v>
      </c>
      <c r="H56" s="456">
        <v>0</v>
      </c>
      <c r="I56" s="456">
        <v>541.53</v>
      </c>
    </row>
    <row r="57" spans="1:9" x14ac:dyDescent="0.3">
      <c r="A57" s="455">
        <v>49</v>
      </c>
      <c r="B57" s="458" t="s">
        <v>617</v>
      </c>
      <c r="C57" s="457" t="s">
        <v>618</v>
      </c>
      <c r="D57" s="457" t="s">
        <v>619</v>
      </c>
      <c r="E57" s="456" t="s">
        <v>610</v>
      </c>
      <c r="F57" s="456">
        <v>887.5</v>
      </c>
      <c r="G57" s="456">
        <v>887.5</v>
      </c>
      <c r="H57" s="456">
        <v>0</v>
      </c>
      <c r="I57" s="456">
        <v>887.5</v>
      </c>
    </row>
    <row r="58" spans="1:9" x14ac:dyDescent="0.3">
      <c r="A58" s="455">
        <v>50</v>
      </c>
      <c r="B58" s="458" t="s">
        <v>620</v>
      </c>
      <c r="C58" s="457" t="s">
        <v>621</v>
      </c>
      <c r="D58" s="457"/>
      <c r="E58" s="456" t="s">
        <v>622</v>
      </c>
      <c r="F58" s="456">
        <v>373676.21</v>
      </c>
      <c r="G58" s="456">
        <v>373676.21</v>
      </c>
      <c r="H58" s="456">
        <v>0</v>
      </c>
      <c r="I58" s="456">
        <v>373676.21</v>
      </c>
    </row>
    <row r="59" spans="1:9" ht="30" x14ac:dyDescent="0.3">
      <c r="A59" s="455">
        <v>51</v>
      </c>
      <c r="B59" s="458" t="s">
        <v>623</v>
      </c>
      <c r="C59" s="457" t="s">
        <v>624</v>
      </c>
      <c r="D59" s="457" t="s">
        <v>625</v>
      </c>
      <c r="E59" s="456" t="s">
        <v>626</v>
      </c>
      <c r="F59" s="456">
        <v>19950</v>
      </c>
      <c r="G59" s="456">
        <v>19950</v>
      </c>
      <c r="H59" s="456">
        <v>0</v>
      </c>
      <c r="I59" s="456">
        <v>19950</v>
      </c>
    </row>
    <row r="60" spans="1:9" ht="30" x14ac:dyDescent="0.3">
      <c r="A60" s="455">
        <v>52</v>
      </c>
      <c r="B60" s="458" t="s">
        <v>627</v>
      </c>
      <c r="C60" s="457" t="s">
        <v>628</v>
      </c>
      <c r="D60" s="457" t="s">
        <v>629</v>
      </c>
      <c r="E60" s="456" t="s">
        <v>630</v>
      </c>
      <c r="F60" s="456">
        <v>625</v>
      </c>
      <c r="G60" s="456">
        <v>625</v>
      </c>
      <c r="H60" s="456">
        <v>0</v>
      </c>
      <c r="I60" s="456">
        <v>625</v>
      </c>
    </row>
    <row r="61" spans="1:9" ht="30" x14ac:dyDescent="0.3">
      <c r="A61" s="455">
        <v>53</v>
      </c>
      <c r="B61" s="458" t="s">
        <v>631</v>
      </c>
      <c r="C61" s="457" t="s">
        <v>632</v>
      </c>
      <c r="D61" s="457" t="s">
        <v>633</v>
      </c>
      <c r="E61" s="456" t="s">
        <v>630</v>
      </c>
      <c r="F61" s="456">
        <v>187.5</v>
      </c>
      <c r="G61" s="456">
        <v>187.5</v>
      </c>
      <c r="H61" s="456">
        <v>0</v>
      </c>
      <c r="I61" s="456">
        <v>187.5</v>
      </c>
    </row>
    <row r="62" spans="1:9" x14ac:dyDescent="0.3">
      <c r="A62" s="455">
        <v>54</v>
      </c>
      <c r="B62" s="458" t="s">
        <v>617</v>
      </c>
      <c r="C62" s="457" t="s">
        <v>634</v>
      </c>
      <c r="D62" s="457" t="s">
        <v>635</v>
      </c>
      <c r="E62" s="456" t="s">
        <v>610</v>
      </c>
      <c r="F62" s="456">
        <v>846.78</v>
      </c>
      <c r="G62" s="456">
        <v>846.78</v>
      </c>
      <c r="H62" s="456">
        <v>0</v>
      </c>
      <c r="I62" s="456">
        <v>846.78</v>
      </c>
    </row>
    <row r="63" spans="1:9" x14ac:dyDescent="0.3">
      <c r="A63" s="455">
        <v>55</v>
      </c>
      <c r="B63" s="458" t="s">
        <v>617</v>
      </c>
      <c r="C63" s="457" t="s">
        <v>636</v>
      </c>
      <c r="D63" s="457" t="s">
        <v>637</v>
      </c>
      <c r="E63" s="456" t="s">
        <v>610</v>
      </c>
      <c r="F63" s="456">
        <v>2916.65</v>
      </c>
      <c r="G63" s="456">
        <v>2916.65</v>
      </c>
      <c r="H63" s="456">
        <v>0</v>
      </c>
      <c r="I63" s="456">
        <v>2916.65</v>
      </c>
    </row>
    <row r="64" spans="1:9" x14ac:dyDescent="0.3">
      <c r="A64" s="455">
        <v>56</v>
      </c>
      <c r="B64" s="458" t="s">
        <v>617</v>
      </c>
      <c r="C64" s="457" t="s">
        <v>638</v>
      </c>
      <c r="D64" s="457" t="s">
        <v>639</v>
      </c>
      <c r="E64" s="456" t="s">
        <v>610</v>
      </c>
      <c r="F64" s="456">
        <v>500</v>
      </c>
      <c r="G64" s="456">
        <v>500</v>
      </c>
      <c r="H64" s="456">
        <v>0</v>
      </c>
      <c r="I64" s="456">
        <v>500</v>
      </c>
    </row>
    <row r="65" spans="1:9" x14ac:dyDescent="0.3">
      <c r="A65" s="455">
        <v>57</v>
      </c>
      <c r="B65" s="458" t="s">
        <v>617</v>
      </c>
      <c r="C65" s="457" t="s">
        <v>640</v>
      </c>
      <c r="D65" s="457" t="s">
        <v>641</v>
      </c>
      <c r="E65" s="456" t="s">
        <v>610</v>
      </c>
      <c r="F65" s="456">
        <v>625</v>
      </c>
      <c r="G65" s="456">
        <v>625</v>
      </c>
      <c r="H65" s="456">
        <v>0</v>
      </c>
      <c r="I65" s="456">
        <v>625</v>
      </c>
    </row>
    <row r="66" spans="1:9" x14ac:dyDescent="0.3">
      <c r="A66" s="455">
        <v>58</v>
      </c>
      <c r="B66" s="458" t="s">
        <v>642</v>
      </c>
      <c r="C66" s="457" t="s">
        <v>643</v>
      </c>
      <c r="D66" s="457"/>
      <c r="E66" s="456" t="s">
        <v>644</v>
      </c>
      <c r="F66" s="456">
        <v>52478.12</v>
      </c>
      <c r="G66" s="456">
        <v>52478.12</v>
      </c>
      <c r="H66" s="456">
        <v>0</v>
      </c>
      <c r="I66" s="456">
        <v>52478.12</v>
      </c>
    </row>
    <row r="67" spans="1:9" x14ac:dyDescent="0.3">
      <c r="A67" s="455">
        <v>59</v>
      </c>
      <c r="B67" s="458" t="s">
        <v>645</v>
      </c>
      <c r="C67" s="457" t="s">
        <v>646</v>
      </c>
      <c r="D67" s="457" t="s">
        <v>647</v>
      </c>
      <c r="E67" s="456" t="s">
        <v>610</v>
      </c>
      <c r="F67" s="456">
        <v>747.33</v>
      </c>
      <c r="G67" s="456">
        <v>747.33</v>
      </c>
      <c r="H67" s="456">
        <v>0</v>
      </c>
      <c r="I67" s="456">
        <v>747.33</v>
      </c>
    </row>
    <row r="68" spans="1:9" x14ac:dyDescent="0.3">
      <c r="A68" s="455">
        <v>60</v>
      </c>
      <c r="B68" s="458" t="s">
        <v>648</v>
      </c>
      <c r="C68" s="457" t="s">
        <v>649</v>
      </c>
      <c r="D68" s="457" t="s">
        <v>650</v>
      </c>
      <c r="E68" s="456" t="s">
        <v>651</v>
      </c>
      <c r="F68" s="456">
        <v>65</v>
      </c>
      <c r="G68" s="456">
        <v>65</v>
      </c>
      <c r="H68" s="456">
        <v>0</v>
      </c>
      <c r="I68" s="456">
        <v>65</v>
      </c>
    </row>
    <row r="69" spans="1:9" ht="45" x14ac:dyDescent="0.3">
      <c r="A69" s="455">
        <v>61</v>
      </c>
      <c r="B69" s="458" t="s">
        <v>652</v>
      </c>
      <c r="C69" s="457" t="s">
        <v>653</v>
      </c>
      <c r="D69" s="457" t="s">
        <v>654</v>
      </c>
      <c r="E69" s="456" t="s">
        <v>655</v>
      </c>
      <c r="F69" s="456">
        <v>80104.399999999994</v>
      </c>
      <c r="G69" s="456">
        <v>80104.399999999994</v>
      </c>
      <c r="H69" s="456">
        <v>0</v>
      </c>
      <c r="I69" s="456">
        <v>80104.399999999994</v>
      </c>
    </row>
    <row r="70" spans="1:9" x14ac:dyDescent="0.3">
      <c r="A70" s="455">
        <v>62</v>
      </c>
      <c r="B70" s="458" t="s">
        <v>656</v>
      </c>
      <c r="C70" s="457" t="s">
        <v>657</v>
      </c>
      <c r="D70" s="457">
        <v>45001015655</v>
      </c>
      <c r="E70" s="456" t="s">
        <v>658</v>
      </c>
      <c r="F70" s="456">
        <v>104.18</v>
      </c>
      <c r="G70" s="456">
        <v>104.18</v>
      </c>
      <c r="H70" s="456">
        <v>0</v>
      </c>
      <c r="I70" s="456">
        <v>104.18</v>
      </c>
    </row>
    <row r="71" spans="1:9" x14ac:dyDescent="0.3">
      <c r="A71" s="455">
        <v>63</v>
      </c>
      <c r="B71" s="458" t="s">
        <v>659</v>
      </c>
      <c r="C71" s="457" t="s">
        <v>660</v>
      </c>
      <c r="D71" s="457" t="s">
        <v>661</v>
      </c>
      <c r="E71" s="456" t="s">
        <v>658</v>
      </c>
      <c r="F71" s="456">
        <v>0.35</v>
      </c>
      <c r="G71" s="456">
        <v>0.35</v>
      </c>
      <c r="H71" s="456">
        <v>0</v>
      </c>
      <c r="I71" s="456">
        <v>0.35</v>
      </c>
    </row>
    <row r="72" spans="1:9" x14ac:dyDescent="0.3">
      <c r="A72" s="455">
        <v>64</v>
      </c>
      <c r="B72" s="458" t="s">
        <v>662</v>
      </c>
      <c r="C72" s="457" t="s">
        <v>663</v>
      </c>
      <c r="D72" s="457" t="s">
        <v>664</v>
      </c>
      <c r="E72" s="456" t="s">
        <v>658</v>
      </c>
      <c r="F72" s="456">
        <v>500</v>
      </c>
      <c r="G72" s="456">
        <v>500</v>
      </c>
      <c r="H72" s="456">
        <v>0</v>
      </c>
      <c r="I72" s="456">
        <v>500</v>
      </c>
    </row>
    <row r="73" spans="1:9" x14ac:dyDescent="0.3">
      <c r="A73" s="455">
        <v>65</v>
      </c>
      <c r="B73" s="458" t="s">
        <v>662</v>
      </c>
      <c r="C73" s="457" t="s">
        <v>665</v>
      </c>
      <c r="D73" s="457" t="s">
        <v>666</v>
      </c>
      <c r="E73" s="456" t="s">
        <v>658</v>
      </c>
      <c r="F73" s="456">
        <v>625</v>
      </c>
      <c r="G73" s="456">
        <v>625</v>
      </c>
      <c r="H73" s="456">
        <v>0</v>
      </c>
      <c r="I73" s="456">
        <v>625</v>
      </c>
    </row>
    <row r="74" spans="1:9" x14ac:dyDescent="0.3">
      <c r="A74" s="455">
        <v>66</v>
      </c>
      <c r="B74" s="458" t="s">
        <v>662</v>
      </c>
      <c r="C74" s="457" t="s">
        <v>667</v>
      </c>
      <c r="D74" s="457" t="s">
        <v>668</v>
      </c>
      <c r="E74" s="456" t="s">
        <v>658</v>
      </c>
      <c r="F74" s="456">
        <v>226.43</v>
      </c>
      <c r="G74" s="456">
        <v>226.43</v>
      </c>
      <c r="H74" s="456">
        <v>0</v>
      </c>
      <c r="I74" s="456">
        <v>226.43</v>
      </c>
    </row>
    <row r="75" spans="1:9" x14ac:dyDescent="0.3">
      <c r="A75" s="455">
        <v>67</v>
      </c>
      <c r="B75" s="458" t="s">
        <v>662</v>
      </c>
      <c r="C75" s="457" t="s">
        <v>669</v>
      </c>
      <c r="D75" s="457" t="s">
        <v>670</v>
      </c>
      <c r="E75" s="456" t="s">
        <v>658</v>
      </c>
      <c r="F75" s="456">
        <v>563</v>
      </c>
      <c r="G75" s="456">
        <v>563</v>
      </c>
      <c r="H75" s="456">
        <v>0</v>
      </c>
      <c r="I75" s="456">
        <v>563</v>
      </c>
    </row>
    <row r="76" spans="1:9" x14ac:dyDescent="0.3">
      <c r="A76" s="455">
        <v>68</v>
      </c>
      <c r="B76" s="458" t="s">
        <v>662</v>
      </c>
      <c r="C76" s="457" t="s">
        <v>671</v>
      </c>
      <c r="D76" s="457" t="s">
        <v>672</v>
      </c>
      <c r="E76" s="456" t="s">
        <v>658</v>
      </c>
      <c r="F76" s="456">
        <v>500</v>
      </c>
      <c r="G76" s="456">
        <v>500</v>
      </c>
      <c r="H76" s="456">
        <v>0</v>
      </c>
      <c r="I76" s="456">
        <v>500</v>
      </c>
    </row>
    <row r="77" spans="1:9" x14ac:dyDescent="0.3">
      <c r="A77" s="455">
        <v>69</v>
      </c>
      <c r="B77" s="458" t="s">
        <v>673</v>
      </c>
      <c r="C77" s="457" t="s">
        <v>674</v>
      </c>
      <c r="D77" s="457" t="s">
        <v>675</v>
      </c>
      <c r="E77" s="456" t="s">
        <v>658</v>
      </c>
      <c r="F77" s="456">
        <v>1200</v>
      </c>
      <c r="G77" s="456">
        <v>1200</v>
      </c>
      <c r="H77" s="456">
        <v>0</v>
      </c>
      <c r="I77" s="456">
        <v>1200</v>
      </c>
    </row>
    <row r="78" spans="1:9" x14ac:dyDescent="0.3">
      <c r="A78" s="455">
        <v>70</v>
      </c>
      <c r="B78" s="458" t="s">
        <v>662</v>
      </c>
      <c r="C78" s="457" t="s">
        <v>676</v>
      </c>
      <c r="D78" s="457" t="s">
        <v>677</v>
      </c>
      <c r="E78" s="456" t="s">
        <v>658</v>
      </c>
      <c r="F78" s="456">
        <v>1600</v>
      </c>
      <c r="G78" s="456">
        <v>1600</v>
      </c>
      <c r="H78" s="456">
        <v>0</v>
      </c>
      <c r="I78" s="456">
        <v>1600</v>
      </c>
    </row>
    <row r="79" spans="1:9" x14ac:dyDescent="0.3">
      <c r="A79" s="455">
        <v>71</v>
      </c>
      <c r="B79" s="458" t="s">
        <v>662</v>
      </c>
      <c r="C79" s="457" t="s">
        <v>678</v>
      </c>
      <c r="D79" s="457">
        <v>61002014645</v>
      </c>
      <c r="E79" s="456" t="s">
        <v>658</v>
      </c>
      <c r="F79" s="456">
        <v>522.54</v>
      </c>
      <c r="G79" s="456">
        <v>522.54</v>
      </c>
      <c r="H79" s="456">
        <v>0</v>
      </c>
      <c r="I79" s="456">
        <v>522.54</v>
      </c>
    </row>
    <row r="80" spans="1:9" x14ac:dyDescent="0.3">
      <c r="A80" s="455">
        <v>72</v>
      </c>
      <c r="B80" s="458" t="s">
        <v>662</v>
      </c>
      <c r="C80" s="457" t="s">
        <v>679</v>
      </c>
      <c r="D80" s="457" t="s">
        <v>680</v>
      </c>
      <c r="E80" s="456" t="s">
        <v>658</v>
      </c>
      <c r="F80" s="456">
        <v>873</v>
      </c>
      <c r="G80" s="456">
        <v>873</v>
      </c>
      <c r="H80" s="456">
        <v>0</v>
      </c>
      <c r="I80" s="456">
        <v>873</v>
      </c>
    </row>
    <row r="81" spans="1:9" x14ac:dyDescent="0.3">
      <c r="A81" s="455">
        <v>73</v>
      </c>
      <c r="B81" s="458" t="s">
        <v>662</v>
      </c>
      <c r="C81" s="457" t="s">
        <v>681</v>
      </c>
      <c r="D81" s="457" t="s">
        <v>682</v>
      </c>
      <c r="E81" s="456" t="s">
        <v>658</v>
      </c>
      <c r="F81" s="456">
        <v>870.9</v>
      </c>
      <c r="G81" s="456">
        <v>870.9</v>
      </c>
      <c r="H81" s="456">
        <v>0</v>
      </c>
      <c r="I81" s="456">
        <v>870.9</v>
      </c>
    </row>
    <row r="82" spans="1:9" x14ac:dyDescent="0.3">
      <c r="A82" s="455">
        <v>74</v>
      </c>
      <c r="B82" s="458" t="s">
        <v>662</v>
      </c>
      <c r="C82" s="457" t="s">
        <v>683</v>
      </c>
      <c r="D82" s="457" t="s">
        <v>684</v>
      </c>
      <c r="E82" s="456" t="s">
        <v>658</v>
      </c>
      <c r="F82" s="456">
        <v>500</v>
      </c>
      <c r="G82" s="456">
        <v>500</v>
      </c>
      <c r="H82" s="456">
        <v>0</v>
      </c>
      <c r="I82" s="456">
        <v>500</v>
      </c>
    </row>
    <row r="83" spans="1:9" x14ac:dyDescent="0.3">
      <c r="A83" s="455">
        <v>75</v>
      </c>
      <c r="B83" s="458" t="s">
        <v>662</v>
      </c>
      <c r="C83" s="457" t="s">
        <v>685</v>
      </c>
      <c r="D83" s="457" t="s">
        <v>686</v>
      </c>
      <c r="E83" s="456" t="s">
        <v>658</v>
      </c>
      <c r="F83" s="456">
        <v>200</v>
      </c>
      <c r="G83" s="456">
        <v>200</v>
      </c>
      <c r="H83" s="456">
        <v>0</v>
      </c>
      <c r="I83" s="456">
        <v>200</v>
      </c>
    </row>
    <row r="84" spans="1:9" ht="45" x14ac:dyDescent="0.3">
      <c r="A84" s="455">
        <v>76</v>
      </c>
      <c r="B84" s="458" t="s">
        <v>687</v>
      </c>
      <c r="C84" s="457" t="s">
        <v>688</v>
      </c>
      <c r="D84" s="457" t="s">
        <v>689</v>
      </c>
      <c r="E84" s="456" t="s">
        <v>690</v>
      </c>
      <c r="F84" s="456">
        <v>180</v>
      </c>
      <c r="G84" s="456">
        <v>180</v>
      </c>
      <c r="H84" s="456">
        <v>0</v>
      </c>
      <c r="I84" s="456">
        <v>180</v>
      </c>
    </row>
    <row r="85" spans="1:9" ht="45" x14ac:dyDescent="0.3">
      <c r="A85" s="455">
        <v>77</v>
      </c>
      <c r="B85" s="459">
        <v>43136</v>
      </c>
      <c r="C85" s="457" t="s">
        <v>691</v>
      </c>
      <c r="D85" s="457">
        <v>242272303</v>
      </c>
      <c r="E85" s="456" t="s">
        <v>692</v>
      </c>
      <c r="F85" s="456">
        <v>200</v>
      </c>
      <c r="G85" s="456">
        <v>200</v>
      </c>
      <c r="H85" s="456">
        <v>0</v>
      </c>
      <c r="I85" s="456">
        <v>200</v>
      </c>
    </row>
    <row r="86" spans="1:9" x14ac:dyDescent="0.3">
      <c r="A86" s="455">
        <v>78</v>
      </c>
      <c r="B86" s="459" t="s">
        <v>919</v>
      </c>
      <c r="C86" s="457" t="s">
        <v>920</v>
      </c>
      <c r="D86" s="457">
        <v>242005888</v>
      </c>
      <c r="E86" s="456" t="s">
        <v>921</v>
      </c>
      <c r="F86" s="456">
        <v>750</v>
      </c>
      <c r="G86" s="456">
        <v>750</v>
      </c>
      <c r="H86" s="456">
        <v>0</v>
      </c>
      <c r="I86" s="456">
        <v>750</v>
      </c>
    </row>
    <row r="87" spans="1:9" ht="30" x14ac:dyDescent="0.3">
      <c r="A87" s="455">
        <v>79</v>
      </c>
      <c r="B87" s="459">
        <v>43142</v>
      </c>
      <c r="C87" s="457" t="s">
        <v>1114</v>
      </c>
      <c r="D87" s="457">
        <v>204429494</v>
      </c>
      <c r="E87" s="456" t="s">
        <v>1132</v>
      </c>
      <c r="F87" s="456">
        <v>495.6</v>
      </c>
      <c r="G87" s="456">
        <v>495.6</v>
      </c>
      <c r="H87" s="456">
        <v>0</v>
      </c>
      <c r="I87" s="456">
        <v>495.6</v>
      </c>
    </row>
    <row r="88" spans="1:9" x14ac:dyDescent="0.3">
      <c r="A88" s="455">
        <v>80</v>
      </c>
      <c r="B88" s="459">
        <v>43292</v>
      </c>
      <c r="C88" s="457" t="s">
        <v>1115</v>
      </c>
      <c r="D88" s="457">
        <v>204564113</v>
      </c>
      <c r="E88" s="456" t="s">
        <v>1133</v>
      </c>
      <c r="F88" s="456">
        <v>198</v>
      </c>
      <c r="G88" s="456">
        <v>198</v>
      </c>
      <c r="H88" s="456">
        <v>0</v>
      </c>
      <c r="I88" s="456">
        <v>198</v>
      </c>
    </row>
    <row r="89" spans="1:9" ht="48.75" customHeight="1" x14ac:dyDescent="0.3">
      <c r="A89" s="455">
        <v>81</v>
      </c>
      <c r="B89" s="459">
        <v>43292</v>
      </c>
      <c r="C89" s="457" t="s">
        <v>1116</v>
      </c>
      <c r="D89" s="457">
        <v>204973742</v>
      </c>
      <c r="E89" s="456" t="s">
        <v>1136</v>
      </c>
      <c r="F89" s="456">
        <v>850</v>
      </c>
      <c r="G89" s="456">
        <v>850</v>
      </c>
      <c r="H89" s="456">
        <v>0</v>
      </c>
      <c r="I89" s="456">
        <v>850</v>
      </c>
    </row>
    <row r="90" spans="1:9" ht="30" x14ac:dyDescent="0.3">
      <c r="A90" s="455">
        <v>82</v>
      </c>
      <c r="B90" s="459">
        <v>43170</v>
      </c>
      <c r="C90" s="457" t="s">
        <v>1117</v>
      </c>
      <c r="D90" s="457">
        <v>205116088</v>
      </c>
      <c r="E90" s="456" t="s">
        <v>1134</v>
      </c>
      <c r="F90" s="456">
        <v>1052.4000000000001</v>
      </c>
      <c r="G90" s="456">
        <v>1052.4000000000001</v>
      </c>
      <c r="H90" s="456">
        <v>0</v>
      </c>
      <c r="I90" s="456">
        <v>1052.4000000000001</v>
      </c>
    </row>
    <row r="91" spans="1:9" x14ac:dyDescent="0.3">
      <c r="A91" s="455">
        <v>83</v>
      </c>
      <c r="B91" s="459">
        <v>43292</v>
      </c>
      <c r="C91" s="457" t="s">
        <v>1118</v>
      </c>
      <c r="D91" s="457">
        <v>204557121</v>
      </c>
      <c r="E91" s="456" t="s">
        <v>1135</v>
      </c>
      <c r="F91" s="456">
        <v>226.98</v>
      </c>
      <c r="G91" s="456">
        <v>226.98</v>
      </c>
      <c r="H91" s="456">
        <v>0</v>
      </c>
      <c r="I91" s="456">
        <v>226.98</v>
      </c>
    </row>
    <row r="92" spans="1:9" x14ac:dyDescent="0.3">
      <c r="A92" s="430" t="s">
        <v>261</v>
      </c>
      <c r="B92" s="449"/>
      <c r="C92" s="432"/>
      <c r="D92" s="432"/>
      <c r="E92" s="431"/>
      <c r="F92" s="431"/>
      <c r="G92" s="433"/>
      <c r="H92" s="434" t="s">
        <v>374</v>
      </c>
      <c r="I92" s="435">
        <f>SUM(I9:I91)</f>
        <v>1287105.17</v>
      </c>
    </row>
    <row r="94" spans="1:9" x14ac:dyDescent="0.3">
      <c r="A94" s="423" t="s">
        <v>396</v>
      </c>
    </row>
    <row r="96" spans="1:9" x14ac:dyDescent="0.3">
      <c r="B96" s="450" t="s">
        <v>96</v>
      </c>
      <c r="F96" s="425"/>
    </row>
    <row r="97" spans="1:12" x14ac:dyDescent="0.3">
      <c r="F97" s="426"/>
      <c r="I97" s="426"/>
      <c r="J97" s="426"/>
      <c r="K97" s="426"/>
      <c r="L97" s="426"/>
    </row>
    <row r="98" spans="1:12" x14ac:dyDescent="0.3">
      <c r="C98" s="451"/>
      <c r="F98" s="451"/>
      <c r="G98" s="451"/>
      <c r="H98" s="427"/>
      <c r="I98" s="452"/>
      <c r="J98" s="426"/>
      <c r="K98" s="426"/>
      <c r="L98" s="426"/>
    </row>
    <row r="99" spans="1:12" x14ac:dyDescent="0.3">
      <c r="A99" s="426"/>
      <c r="C99" s="453" t="s">
        <v>251</v>
      </c>
      <c r="F99" s="427" t="s">
        <v>256</v>
      </c>
      <c r="G99" s="453"/>
      <c r="H99" s="453"/>
      <c r="I99" s="452"/>
      <c r="J99" s="426"/>
      <c r="K99" s="426"/>
      <c r="L99" s="426"/>
    </row>
    <row r="100" spans="1:12" x14ac:dyDescent="0.3">
      <c r="A100" s="426"/>
      <c r="C100" s="454" t="s">
        <v>127</v>
      </c>
      <c r="F100" s="423" t="s">
        <v>252</v>
      </c>
      <c r="I100" s="426"/>
      <c r="J100" s="426"/>
      <c r="K100" s="426"/>
      <c r="L100" s="426"/>
    </row>
    <row r="101" spans="1:12" s="426" customFormat="1" x14ac:dyDescent="0.3">
      <c r="B101" s="423"/>
      <c r="C101" s="454"/>
      <c r="G101" s="454"/>
      <c r="H101" s="454"/>
    </row>
    <row r="102" spans="1:12" s="426" customFormat="1" ht="12.75" x14ac:dyDescent="0.2"/>
    <row r="103" spans="1:12" s="426" customFormat="1" ht="12.75" x14ac:dyDescent="0.2"/>
    <row r="104" spans="1:12" s="426" customFormat="1" ht="12.75" x14ac:dyDescent="0.2"/>
    <row r="105" spans="1:12" s="426" customFormat="1" ht="12.75" x14ac:dyDescent="0.2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92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G16" sqref="G16"/>
    </sheetView>
  </sheetViews>
  <sheetFormatPr defaultColWidth="9.140625" defaultRowHeight="12.75" x14ac:dyDescent="0.2"/>
  <cols>
    <col min="1" max="1" width="7.28515625" style="190" customWidth="1"/>
    <col min="2" max="2" width="57.28515625" style="190" customWidth="1"/>
    <col min="3" max="3" width="24.140625" style="190" customWidth="1"/>
    <col min="4" max="16384" width="9.140625" style="190"/>
  </cols>
  <sheetData>
    <row r="1" spans="1:4" s="6" customFormat="1" ht="18.75" customHeight="1" x14ac:dyDescent="0.3">
      <c r="A1" s="515" t="s">
        <v>457</v>
      </c>
      <c r="B1" s="515"/>
      <c r="C1" s="348" t="s">
        <v>97</v>
      </c>
    </row>
    <row r="2" spans="1:4" s="6" customFormat="1" ht="15" x14ac:dyDescent="0.3">
      <c r="A2" s="515"/>
      <c r="B2" s="515"/>
      <c r="C2" s="513" t="s">
        <v>1113</v>
      </c>
      <c r="D2" s="514"/>
    </row>
    <row r="3" spans="1:4" s="6" customFormat="1" ht="15" x14ac:dyDescent="0.3">
      <c r="A3" s="380" t="s">
        <v>128</v>
      </c>
      <c r="B3" s="346"/>
      <c r="C3" s="347"/>
    </row>
    <row r="4" spans="1:4" s="6" customFormat="1" ht="15" x14ac:dyDescent="0.3">
      <c r="A4" s="112"/>
      <c r="B4" s="346"/>
      <c r="C4" s="347"/>
    </row>
    <row r="5" spans="1:4" s="21" customFormat="1" ht="15" x14ac:dyDescent="0.3">
      <c r="A5" s="516" t="s">
        <v>257</v>
      </c>
      <c r="B5" s="516"/>
      <c r="C5" s="112"/>
    </row>
    <row r="6" spans="1:4" s="21" customFormat="1" ht="15" x14ac:dyDescent="0.3">
      <c r="A6" s="517" t="str">
        <f>'ფორმა N1'!A5</f>
        <v>მპგ ,, ქართული ოცნება დემოკრატიული საქართველო"</v>
      </c>
      <c r="B6" s="517"/>
      <c r="C6" s="112"/>
    </row>
    <row r="7" spans="1:4" x14ac:dyDescent="0.2">
      <c r="A7" s="381"/>
      <c r="B7" s="381"/>
      <c r="C7" s="381"/>
    </row>
    <row r="8" spans="1:4" x14ac:dyDescent="0.2">
      <c r="A8" s="381"/>
      <c r="B8" s="381"/>
      <c r="C8" s="381"/>
    </row>
    <row r="9" spans="1:4" ht="30" customHeight="1" x14ac:dyDescent="0.2">
      <c r="A9" s="382" t="s">
        <v>64</v>
      </c>
      <c r="B9" s="382" t="s">
        <v>11</v>
      </c>
      <c r="C9" s="383" t="s">
        <v>9</v>
      </c>
    </row>
    <row r="10" spans="1:4" ht="15" x14ac:dyDescent="0.3">
      <c r="A10" s="384">
        <v>1</v>
      </c>
      <c r="B10" s="385" t="s">
        <v>57</v>
      </c>
      <c r="C10" s="401">
        <f>'ფორმა N4'!D11+'ფორმა N5'!D9</f>
        <v>554942.22</v>
      </c>
    </row>
    <row r="11" spans="1:4" ht="15" x14ac:dyDescent="0.3">
      <c r="A11" s="387">
        <v>1.1000000000000001</v>
      </c>
      <c r="B11" s="385" t="s">
        <v>458</v>
      </c>
      <c r="C11" s="402">
        <f>'ფორმა N4'!D39+'ფორმა N5'!D37</f>
        <v>10008.83</v>
      </c>
    </row>
    <row r="12" spans="1:4" ht="15" x14ac:dyDescent="0.3">
      <c r="A12" s="388" t="s">
        <v>30</v>
      </c>
      <c r="B12" s="385" t="s">
        <v>459</v>
      </c>
      <c r="C12" s="402">
        <f>'ფორმა N4'!D40+'ფორმა N5'!D38</f>
        <v>0</v>
      </c>
    </row>
    <row r="13" spans="1:4" ht="15" x14ac:dyDescent="0.3">
      <c r="A13" s="387">
        <v>1.2</v>
      </c>
      <c r="B13" s="385" t="s">
        <v>58</v>
      </c>
      <c r="C13" s="402">
        <f>'ფორმა N4'!D12+'ფორმა N5'!D10</f>
        <v>66970</v>
      </c>
    </row>
    <row r="14" spans="1:4" ht="15" x14ac:dyDescent="0.3">
      <c r="A14" s="387">
        <v>1.3</v>
      </c>
      <c r="B14" s="385" t="s">
        <v>460</v>
      </c>
      <c r="C14" s="402">
        <f>'ფორმა N4'!D17+'ფორმა N5'!D15</f>
        <v>0</v>
      </c>
    </row>
    <row r="15" spans="1:4" ht="15" x14ac:dyDescent="0.2">
      <c r="A15" s="518"/>
      <c r="B15" s="518"/>
      <c r="C15" s="518"/>
    </row>
    <row r="16" spans="1:4" ht="30" customHeight="1" x14ac:dyDescent="0.2">
      <c r="A16" s="382" t="s">
        <v>64</v>
      </c>
      <c r="B16" s="382" t="s">
        <v>232</v>
      </c>
      <c r="C16" s="383" t="s">
        <v>67</v>
      </c>
    </row>
    <row r="17" spans="1:4" ht="15" x14ac:dyDescent="0.3">
      <c r="A17" s="384">
        <v>2</v>
      </c>
      <c r="B17" s="385" t="s">
        <v>461</v>
      </c>
      <c r="C17" s="386">
        <f>'ფორმა N2'!D9+'ფორმა N2'!C26+'ფორმა N3'!D9+'ფორმა N3'!C26</f>
        <v>523036</v>
      </c>
    </row>
    <row r="18" spans="1:4" ht="15" x14ac:dyDescent="0.3">
      <c r="A18" s="389">
        <v>2.1</v>
      </c>
      <c r="B18" s="385" t="s">
        <v>462</v>
      </c>
      <c r="C18" s="385">
        <f>'ფორმა N2'!D17+'ფორმა N3'!D17</f>
        <v>347740</v>
      </c>
    </row>
    <row r="19" spans="1:4" ht="15" x14ac:dyDescent="0.3">
      <c r="A19" s="389">
        <v>2.2000000000000002</v>
      </c>
      <c r="B19" s="385" t="s">
        <v>463</v>
      </c>
      <c r="C19" s="385">
        <f>'ფორმა N2'!D18+'ფორმა N3'!D18</f>
        <v>84169</v>
      </c>
    </row>
    <row r="20" spans="1:4" ht="15" x14ac:dyDescent="0.3">
      <c r="A20" s="389">
        <v>2.2999999999999998</v>
      </c>
      <c r="B20" s="385" t="s">
        <v>464</v>
      </c>
      <c r="C20" s="390">
        <f>SUM(C21:C25)</f>
        <v>90240</v>
      </c>
    </row>
    <row r="21" spans="1:4" ht="15" x14ac:dyDescent="0.3">
      <c r="A21" s="388" t="s">
        <v>465</v>
      </c>
      <c r="B21" s="391" t="s">
        <v>466</v>
      </c>
      <c r="C21" s="385">
        <f>'ფორმა N2'!D13+'ფორმა N3'!D13</f>
        <v>90000</v>
      </c>
    </row>
    <row r="22" spans="1:4" ht="15" x14ac:dyDescent="0.3">
      <c r="A22" s="388" t="s">
        <v>467</v>
      </c>
      <c r="B22" s="391" t="s">
        <v>468</v>
      </c>
      <c r="C22" s="385">
        <f>'ფორმა N2'!C27+'ფორმა N3'!C27</f>
        <v>0</v>
      </c>
    </row>
    <row r="23" spans="1:4" ht="15" x14ac:dyDescent="0.3">
      <c r="A23" s="388" t="s">
        <v>469</v>
      </c>
      <c r="B23" s="391" t="s">
        <v>470</v>
      </c>
      <c r="C23" s="385">
        <f>'ფორმა N2'!D14+'ფორმა N3'!D14</f>
        <v>200</v>
      </c>
    </row>
    <row r="24" spans="1:4" ht="15" x14ac:dyDescent="0.3">
      <c r="A24" s="388" t="s">
        <v>471</v>
      </c>
      <c r="B24" s="391" t="s">
        <v>472</v>
      </c>
      <c r="C24" s="385">
        <f>'ფორმა N2'!C31+'ფორმა N3'!C31</f>
        <v>0</v>
      </c>
    </row>
    <row r="25" spans="1:4" ht="15" x14ac:dyDescent="0.3">
      <c r="A25" s="388" t="s">
        <v>473</v>
      </c>
      <c r="B25" s="391" t="s">
        <v>474</v>
      </c>
      <c r="C25" s="385">
        <f>'ფორმა N2'!D11+'ფორმა N3'!D11</f>
        <v>40</v>
      </c>
    </row>
    <row r="26" spans="1:4" ht="15" x14ac:dyDescent="0.3">
      <c r="A26" s="392"/>
      <c r="B26" s="393"/>
      <c r="C26" s="394"/>
    </row>
    <row r="27" spans="1:4" ht="15" x14ac:dyDescent="0.3">
      <c r="A27" s="392"/>
      <c r="B27" s="393"/>
      <c r="C27" s="394"/>
    </row>
    <row r="28" spans="1:4" ht="15" x14ac:dyDescent="0.3">
      <c r="A28" s="21"/>
      <c r="B28" s="21"/>
      <c r="C28" s="21"/>
      <c r="D28" s="395"/>
    </row>
    <row r="29" spans="1:4" ht="15" x14ac:dyDescent="0.3">
      <c r="A29" s="188" t="s">
        <v>96</v>
      </c>
      <c r="B29" s="21"/>
      <c r="C29" s="21"/>
      <c r="D29" s="395"/>
    </row>
    <row r="30" spans="1:4" ht="15" x14ac:dyDescent="0.3">
      <c r="A30" s="21"/>
      <c r="B30" s="21"/>
      <c r="C30" s="21"/>
      <c r="D30" s="395"/>
    </row>
    <row r="31" spans="1:4" ht="15" x14ac:dyDescent="0.3">
      <c r="A31" s="21"/>
      <c r="B31" s="21"/>
      <c r="C31" s="21"/>
      <c r="D31" s="396"/>
    </row>
    <row r="32" spans="1:4" ht="15" x14ac:dyDescent="0.3">
      <c r="B32" s="188" t="s">
        <v>254</v>
      </c>
      <c r="C32" s="21"/>
      <c r="D32" s="396"/>
    </row>
    <row r="33" spans="2:4" ht="15" x14ac:dyDescent="0.3">
      <c r="B33" s="21" t="s">
        <v>253</v>
      </c>
      <c r="C33" s="21"/>
      <c r="D33" s="396"/>
    </row>
    <row r="34" spans="2:4" x14ac:dyDescent="0.2">
      <c r="B34" s="397" t="s">
        <v>127</v>
      </c>
      <c r="D34" s="398"/>
    </row>
  </sheetData>
  <mergeCells count="5">
    <mergeCell ref="A1:B2"/>
    <mergeCell ref="A5:B5"/>
    <mergeCell ref="A6:B6"/>
    <mergeCell ref="A15:C15"/>
    <mergeCell ref="C2:D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7" zoomScale="80" zoomScaleNormal="100" zoomScaleSheetLayoutView="80" workbookViewId="0">
      <selection activeCell="C2" sqref="C2:D2"/>
    </sheetView>
  </sheetViews>
  <sheetFormatPr defaultColWidth="9.140625"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2" t="s">
        <v>284</v>
      </c>
      <c r="B1" s="74"/>
      <c r="C1" s="481" t="s">
        <v>97</v>
      </c>
      <c r="D1" s="481"/>
      <c r="E1" s="106"/>
    </row>
    <row r="2" spans="1:7" x14ac:dyDescent="0.3">
      <c r="A2" s="74" t="s">
        <v>128</v>
      </c>
      <c r="B2" s="74"/>
      <c r="C2" s="471" t="s">
        <v>1112</v>
      </c>
      <c r="D2" s="472"/>
      <c r="E2" s="106"/>
    </row>
    <row r="3" spans="1:7" x14ac:dyDescent="0.3">
      <c r="A3" s="72"/>
      <c r="B3" s="74"/>
      <c r="C3" s="73"/>
      <c r="D3" s="73"/>
      <c r="E3" s="106"/>
    </row>
    <row r="4" spans="1:7" x14ac:dyDescent="0.3">
      <c r="A4" s="75" t="s">
        <v>257</v>
      </c>
      <c r="B4" s="100"/>
      <c r="C4" s="101"/>
      <c r="D4" s="74"/>
      <c r="E4" s="106"/>
    </row>
    <row r="5" spans="1:7" x14ac:dyDescent="0.3">
      <c r="A5" s="344" t="str">
        <f>'ფორმა N1'!A5</f>
        <v>მპგ ,, ქართული ოცნება დემოკრატიული საქართველო"</v>
      </c>
      <c r="B5" s="12"/>
      <c r="C5" s="12"/>
      <c r="E5" s="106"/>
    </row>
    <row r="6" spans="1:7" x14ac:dyDescent="0.3">
      <c r="A6" s="102"/>
      <c r="B6" s="102"/>
      <c r="C6" s="102"/>
      <c r="D6" s="103"/>
      <c r="E6" s="106"/>
    </row>
    <row r="7" spans="1:7" x14ac:dyDescent="0.3">
      <c r="A7" s="74"/>
      <c r="B7" s="74"/>
      <c r="C7" s="74"/>
      <c r="D7" s="74"/>
      <c r="E7" s="106"/>
    </row>
    <row r="8" spans="1:7" s="6" customFormat="1" ht="39" customHeight="1" x14ac:dyDescent="0.3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 x14ac:dyDescent="0.3">
      <c r="A9" s="211">
        <v>1</v>
      </c>
      <c r="B9" s="211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 x14ac:dyDescent="0.3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 x14ac:dyDescent="0.3">
      <c r="A11" s="86" t="s">
        <v>30</v>
      </c>
      <c r="B11" s="86" t="s">
        <v>68</v>
      </c>
      <c r="C11" s="8"/>
      <c r="D11" s="8"/>
      <c r="E11" s="106"/>
    </row>
    <row r="12" spans="1:7" s="10" customFormat="1" ht="16.5" customHeight="1" x14ac:dyDescent="0.3">
      <c r="A12" s="86" t="s">
        <v>31</v>
      </c>
      <c r="B12" s="86" t="s">
        <v>290</v>
      </c>
      <c r="C12" s="105">
        <f>SUM(C14:C15)</f>
        <v>0</v>
      </c>
      <c r="D12" s="105">
        <f>SUM(D14:D15)</f>
        <v>0</v>
      </c>
      <c r="E12" s="106"/>
      <c r="G12" s="66"/>
    </row>
    <row r="13" spans="1:7" s="3" customFormat="1" ht="16.5" customHeight="1" x14ac:dyDescent="0.3">
      <c r="A13" s="95" t="s">
        <v>70</v>
      </c>
      <c r="B13" s="95" t="s">
        <v>293</v>
      </c>
      <c r="C13" s="8"/>
      <c r="D13" s="8"/>
      <c r="E13" s="106"/>
    </row>
    <row r="14" spans="1:7" s="3" customFormat="1" ht="16.5" customHeight="1" x14ac:dyDescent="0.3">
      <c r="A14" s="95" t="s">
        <v>437</v>
      </c>
      <c r="B14" s="95" t="s">
        <v>436</v>
      </c>
      <c r="C14" s="8"/>
      <c r="D14" s="8"/>
      <c r="E14" s="106"/>
    </row>
    <row r="15" spans="1:7" s="3" customFormat="1" ht="16.5" customHeight="1" x14ac:dyDescent="0.3">
      <c r="A15" s="95" t="s">
        <v>438</v>
      </c>
      <c r="B15" s="95" t="s">
        <v>86</v>
      </c>
      <c r="C15" s="8"/>
      <c r="D15" s="8"/>
      <c r="E15" s="106"/>
    </row>
    <row r="16" spans="1:7" s="3" customFormat="1" ht="16.5" customHeight="1" x14ac:dyDescent="0.3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 x14ac:dyDescent="0.3">
      <c r="A17" s="95" t="s">
        <v>73</v>
      </c>
      <c r="B17" s="95" t="s">
        <v>75</v>
      </c>
      <c r="C17" s="8"/>
      <c r="D17" s="8"/>
      <c r="E17" s="106"/>
    </row>
    <row r="18" spans="1:5" s="3" customFormat="1" ht="30" x14ac:dyDescent="0.3">
      <c r="A18" s="95" t="s">
        <v>74</v>
      </c>
      <c r="B18" s="95" t="s">
        <v>98</v>
      </c>
      <c r="C18" s="8"/>
      <c r="D18" s="8"/>
      <c r="E18" s="106"/>
    </row>
    <row r="19" spans="1:5" s="3" customFormat="1" ht="16.5" customHeight="1" x14ac:dyDescent="0.3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 x14ac:dyDescent="0.3">
      <c r="A20" s="95" t="s">
        <v>77</v>
      </c>
      <c r="B20" s="95" t="s">
        <v>78</v>
      </c>
      <c r="C20" s="8"/>
      <c r="D20" s="8"/>
      <c r="E20" s="106"/>
    </row>
    <row r="21" spans="1:5" s="3" customFormat="1" ht="30" x14ac:dyDescent="0.3">
      <c r="A21" s="95" t="s">
        <v>81</v>
      </c>
      <c r="B21" s="95" t="s">
        <v>79</v>
      </c>
      <c r="C21" s="8"/>
      <c r="D21" s="8"/>
      <c r="E21" s="106"/>
    </row>
    <row r="22" spans="1:5" s="3" customFormat="1" ht="16.5" customHeight="1" x14ac:dyDescent="0.3">
      <c r="A22" s="95" t="s">
        <v>82</v>
      </c>
      <c r="B22" s="95" t="s">
        <v>80</v>
      </c>
      <c r="C22" s="8"/>
      <c r="D22" s="8"/>
      <c r="E22" s="106"/>
    </row>
    <row r="23" spans="1:5" s="3" customFormat="1" ht="16.5" customHeight="1" x14ac:dyDescent="0.3">
      <c r="A23" s="95" t="s">
        <v>83</v>
      </c>
      <c r="B23" s="95" t="s">
        <v>384</v>
      </c>
      <c r="C23" s="8"/>
      <c r="D23" s="8"/>
      <c r="E23" s="106"/>
    </row>
    <row r="24" spans="1:5" s="3" customFormat="1" ht="16.5" customHeight="1" x14ac:dyDescent="0.3">
      <c r="A24" s="86" t="s">
        <v>84</v>
      </c>
      <c r="B24" s="86" t="s">
        <v>385</v>
      </c>
      <c r="C24" s="233"/>
      <c r="D24" s="8"/>
      <c r="E24" s="106"/>
    </row>
    <row r="25" spans="1:5" s="3" customFormat="1" x14ac:dyDescent="0.3">
      <c r="A25" s="86" t="s">
        <v>234</v>
      </c>
      <c r="B25" s="86" t="s">
        <v>391</v>
      </c>
      <c r="C25" s="8"/>
      <c r="D25" s="8"/>
      <c r="E25" s="106"/>
    </row>
    <row r="26" spans="1:5" ht="16.5" customHeight="1" x14ac:dyDescent="0.3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06"/>
    </row>
    <row r="27" spans="1:5" ht="16.5" customHeight="1" x14ac:dyDescent="0.3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06"/>
    </row>
    <row r="28" spans="1:5" x14ac:dyDescent="0.3">
      <c r="A28" s="219" t="s">
        <v>87</v>
      </c>
      <c r="B28" s="219" t="s">
        <v>291</v>
      </c>
      <c r="C28" s="8"/>
      <c r="D28" s="8"/>
      <c r="E28" s="106"/>
    </row>
    <row r="29" spans="1:5" x14ac:dyDescent="0.3">
      <c r="A29" s="219" t="s">
        <v>88</v>
      </c>
      <c r="B29" s="219" t="s">
        <v>294</v>
      </c>
      <c r="C29" s="8"/>
      <c r="D29" s="8"/>
      <c r="E29" s="106"/>
    </row>
    <row r="30" spans="1:5" x14ac:dyDescent="0.3">
      <c r="A30" s="219" t="s">
        <v>393</v>
      </c>
      <c r="B30" s="219" t="s">
        <v>292</v>
      </c>
      <c r="C30" s="8"/>
      <c r="D30" s="8"/>
      <c r="E30" s="106"/>
    </row>
    <row r="31" spans="1:5" x14ac:dyDescent="0.3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06"/>
    </row>
    <row r="32" spans="1:5" x14ac:dyDescent="0.3">
      <c r="A32" s="219" t="s">
        <v>12</v>
      </c>
      <c r="B32" s="219" t="s">
        <v>439</v>
      </c>
      <c r="C32" s="8"/>
      <c r="D32" s="8"/>
      <c r="E32" s="106"/>
    </row>
    <row r="33" spans="1:9" x14ac:dyDescent="0.3">
      <c r="A33" s="219" t="s">
        <v>13</v>
      </c>
      <c r="B33" s="219" t="s">
        <v>440</v>
      </c>
      <c r="C33" s="8"/>
      <c r="D33" s="8"/>
      <c r="E33" s="106"/>
    </row>
    <row r="34" spans="1:9" x14ac:dyDescent="0.3">
      <c r="A34" s="219" t="s">
        <v>264</v>
      </c>
      <c r="B34" s="219" t="s">
        <v>441</v>
      </c>
      <c r="C34" s="8"/>
      <c r="D34" s="8"/>
      <c r="E34" s="106"/>
    </row>
    <row r="35" spans="1:9" x14ac:dyDescent="0.3">
      <c r="A35" s="86" t="s">
        <v>34</v>
      </c>
      <c r="B35" s="232" t="s">
        <v>390</v>
      </c>
      <c r="C35" s="8"/>
      <c r="D35" s="8"/>
      <c r="E35" s="106"/>
    </row>
    <row r="36" spans="1:9" x14ac:dyDescent="0.3">
      <c r="D36" s="27"/>
      <c r="E36" s="107"/>
      <c r="F36" s="27"/>
    </row>
    <row r="37" spans="1:9" x14ac:dyDescent="0.3">
      <c r="A37" s="1"/>
      <c r="D37" s="27"/>
      <c r="E37" s="107"/>
      <c r="F37" s="27"/>
    </row>
    <row r="38" spans="1:9" x14ac:dyDescent="0.3">
      <c r="D38" s="27"/>
      <c r="E38" s="107"/>
      <c r="F38" s="27"/>
    </row>
    <row r="39" spans="1:9" x14ac:dyDescent="0.3">
      <c r="D39" s="27"/>
      <c r="E39" s="107"/>
      <c r="F39" s="27"/>
    </row>
    <row r="40" spans="1:9" x14ac:dyDescent="0.3">
      <c r="A40" s="67" t="s">
        <v>96</v>
      </c>
      <c r="D40" s="27"/>
      <c r="E40" s="107"/>
      <c r="F40" s="27"/>
    </row>
    <row r="41" spans="1:9" x14ac:dyDescent="0.3">
      <c r="D41" s="27"/>
      <c r="E41" s="108"/>
      <c r="F41" s="108"/>
      <c r="G41"/>
      <c r="H41"/>
      <c r="I41"/>
    </row>
    <row r="42" spans="1:9" x14ac:dyDescent="0.3">
      <c r="D42" s="109"/>
      <c r="E42" s="108"/>
      <c r="F42" s="108"/>
      <c r="G42"/>
      <c r="H42"/>
      <c r="I42"/>
    </row>
    <row r="43" spans="1:9" x14ac:dyDescent="0.3">
      <c r="A43"/>
      <c r="B43" s="67" t="s">
        <v>254</v>
      </c>
      <c r="D43" s="109"/>
      <c r="E43" s="108"/>
      <c r="F43" s="108"/>
      <c r="G43"/>
      <c r="H43"/>
      <c r="I43"/>
    </row>
    <row r="44" spans="1:9" x14ac:dyDescent="0.3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 x14ac:dyDescent="0.2">
      <c r="B45" s="64" t="s">
        <v>127</v>
      </c>
      <c r="D45" s="108"/>
      <c r="E45" s="108"/>
      <c r="F45" s="108"/>
    </row>
    <row r="46" spans="1:9" x14ac:dyDescent="0.3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2">
        <v>40907</v>
      </c>
      <c r="C2" t="s">
        <v>188</v>
      </c>
      <c r="E2" t="s">
        <v>219</v>
      </c>
      <c r="G2" s="63" t="s">
        <v>224</v>
      </c>
    </row>
    <row r="3" spans="1:7" ht="15" x14ac:dyDescent="0.2">
      <c r="A3" s="62">
        <v>40908</v>
      </c>
      <c r="C3" t="s">
        <v>189</v>
      </c>
      <c r="E3" t="s">
        <v>220</v>
      </c>
      <c r="G3" s="63" t="s">
        <v>225</v>
      </c>
    </row>
    <row r="4" spans="1:7" ht="15" x14ac:dyDescent="0.2">
      <c r="A4" s="62">
        <v>40909</v>
      </c>
      <c r="C4" t="s">
        <v>190</v>
      </c>
      <c r="E4" t="s">
        <v>221</v>
      </c>
      <c r="G4" s="63" t="s">
        <v>226</v>
      </c>
    </row>
    <row r="5" spans="1:7" x14ac:dyDescent="0.2">
      <c r="A5" s="62">
        <v>40910</v>
      </c>
      <c r="C5" t="s">
        <v>191</v>
      </c>
      <c r="E5" t="s">
        <v>222</v>
      </c>
    </row>
    <row r="6" spans="1:7" x14ac:dyDescent="0.2">
      <c r="A6" s="62">
        <v>40911</v>
      </c>
      <c r="C6" t="s">
        <v>192</v>
      </c>
    </row>
    <row r="7" spans="1:7" x14ac:dyDescent="0.2">
      <c r="A7" s="62">
        <v>40912</v>
      </c>
      <c r="C7" t="s">
        <v>193</v>
      </c>
    </row>
    <row r="8" spans="1:7" x14ac:dyDescent="0.2">
      <c r="A8" s="62">
        <v>40913</v>
      </c>
      <c r="C8" t="s">
        <v>194</v>
      </c>
    </row>
    <row r="9" spans="1:7" x14ac:dyDescent="0.2">
      <c r="A9" s="62">
        <v>40914</v>
      </c>
      <c r="C9" t="s">
        <v>195</v>
      </c>
    </row>
    <row r="10" spans="1:7" x14ac:dyDescent="0.2">
      <c r="A10" s="62">
        <v>40915</v>
      </c>
      <c r="C10" t="s">
        <v>196</v>
      </c>
    </row>
    <row r="11" spans="1:7" x14ac:dyDescent="0.2">
      <c r="A11" s="62">
        <v>40916</v>
      </c>
      <c r="C11" t="s">
        <v>197</v>
      </c>
    </row>
    <row r="12" spans="1:7" x14ac:dyDescent="0.2">
      <c r="A12" s="62">
        <v>40917</v>
      </c>
      <c r="C12" t="s">
        <v>198</v>
      </c>
    </row>
    <row r="13" spans="1:7" x14ac:dyDescent="0.2">
      <c r="A13" s="62">
        <v>40918</v>
      </c>
      <c r="C13" t="s">
        <v>199</v>
      </c>
    </row>
    <row r="14" spans="1:7" x14ac:dyDescent="0.2">
      <c r="A14" s="62">
        <v>40919</v>
      </c>
      <c r="C14" t="s">
        <v>200</v>
      </c>
    </row>
    <row r="15" spans="1:7" x14ac:dyDescent="0.2">
      <c r="A15" s="62">
        <v>40920</v>
      </c>
      <c r="C15" t="s">
        <v>201</v>
      </c>
    </row>
    <row r="16" spans="1:7" x14ac:dyDescent="0.2">
      <c r="A16" s="62">
        <v>40921</v>
      </c>
      <c r="C16" t="s">
        <v>202</v>
      </c>
    </row>
    <row r="17" spans="1:3" x14ac:dyDescent="0.2">
      <c r="A17" s="62">
        <v>40922</v>
      </c>
      <c r="C17" t="s">
        <v>203</v>
      </c>
    </row>
    <row r="18" spans="1:3" x14ac:dyDescent="0.2">
      <c r="A18" s="62">
        <v>40923</v>
      </c>
      <c r="C18" t="s">
        <v>204</v>
      </c>
    </row>
    <row r="19" spans="1:3" x14ac:dyDescent="0.2">
      <c r="A19" s="62">
        <v>40924</v>
      </c>
      <c r="C19" t="s">
        <v>205</v>
      </c>
    </row>
    <row r="20" spans="1:3" x14ac:dyDescent="0.2">
      <c r="A20" s="62">
        <v>40925</v>
      </c>
      <c r="C20" t="s">
        <v>206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46"/>
  <sheetViews>
    <sheetView showGridLines="0" view="pageBreakPreview" zoomScale="80" zoomScaleNormal="100" zoomScaleSheetLayoutView="80" workbookViewId="0">
      <selection activeCell="AA18" sqref="AA18"/>
    </sheetView>
  </sheetViews>
  <sheetFormatPr defaultColWidth="9.140625" defaultRowHeight="15" x14ac:dyDescent="0.3"/>
  <cols>
    <col min="1" max="1" width="14.28515625" style="21" bestFit="1" customWidth="1"/>
    <col min="2" max="2" width="80" style="228" customWidth="1"/>
    <col min="3" max="3" width="16.5703125" style="21" customWidth="1"/>
    <col min="4" max="4" width="14.28515625" style="21" customWidth="1"/>
    <col min="5" max="5" width="0.42578125" style="19" customWidth="1"/>
    <col min="6" max="6" width="9.140625" style="21"/>
    <col min="7" max="25" width="0" style="21" hidden="1" customWidth="1"/>
    <col min="26" max="16384" width="9.140625" style="21"/>
  </cols>
  <sheetData>
    <row r="1" spans="1:21" s="6" customFormat="1" x14ac:dyDescent="0.3">
      <c r="A1" s="72" t="s">
        <v>255</v>
      </c>
      <c r="B1" s="224"/>
      <c r="C1" s="481" t="s">
        <v>97</v>
      </c>
      <c r="D1" s="481"/>
      <c r="E1" s="111"/>
    </row>
    <row r="2" spans="1:21" s="6" customFormat="1" x14ac:dyDescent="0.3">
      <c r="A2" s="74" t="s">
        <v>128</v>
      </c>
      <c r="B2" s="224"/>
      <c r="C2" s="471" t="s">
        <v>1112</v>
      </c>
      <c r="D2" s="472"/>
      <c r="E2" s="111"/>
    </row>
    <row r="3" spans="1:21" s="6" customFormat="1" x14ac:dyDescent="0.3">
      <c r="A3" s="74"/>
      <c r="B3" s="224"/>
      <c r="C3" s="73"/>
      <c r="D3" s="73"/>
      <c r="E3" s="111"/>
    </row>
    <row r="4" spans="1:21" s="2" customFormat="1" x14ac:dyDescent="0.3">
      <c r="A4" s="75" t="str">
        <f>'ფორმა N2'!A4</f>
        <v>ანგარიშვალდებული პირის დასახელება:</v>
      </c>
      <c r="B4" s="225"/>
      <c r="C4" s="74"/>
      <c r="D4" s="74"/>
      <c r="E4" s="106"/>
      <c r="O4" s="6"/>
    </row>
    <row r="5" spans="1:21" s="2" customFormat="1" x14ac:dyDescent="0.3">
      <c r="A5" s="117" t="str">
        <f>'ფორმა N1'!A5</f>
        <v>მპგ ,, ქართული ოცნება დემოკრატიული საქართველო"</v>
      </c>
      <c r="B5" s="226"/>
      <c r="C5" s="59"/>
      <c r="D5" s="59"/>
      <c r="E5" s="106"/>
    </row>
    <row r="6" spans="1:21" s="2" customFormat="1" x14ac:dyDescent="0.3">
      <c r="A6" s="75"/>
      <c r="B6" s="225"/>
      <c r="C6" s="74"/>
      <c r="D6" s="74"/>
      <c r="E6" s="106"/>
    </row>
    <row r="7" spans="1:21" s="6" customFormat="1" ht="18" x14ac:dyDescent="0.3">
      <c r="A7" s="98"/>
      <c r="B7" s="110"/>
      <c r="C7" s="76"/>
      <c r="D7" s="76"/>
      <c r="E7" s="111"/>
    </row>
    <row r="8" spans="1:21" s="6" customFormat="1" ht="30" x14ac:dyDescent="0.3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  <c r="G8" s="20"/>
      <c r="H8" s="20"/>
      <c r="K8" s="6" t="s">
        <v>934</v>
      </c>
      <c r="N8" s="6" t="s">
        <v>935</v>
      </c>
      <c r="Q8" s="6" t="s">
        <v>936</v>
      </c>
      <c r="T8" s="6" t="s">
        <v>1120</v>
      </c>
    </row>
    <row r="9" spans="1:21" s="7" customFormat="1" x14ac:dyDescent="0.3">
      <c r="A9" s="211">
        <v>1</v>
      </c>
      <c r="B9" s="211" t="s">
        <v>65</v>
      </c>
      <c r="C9" s="409">
        <f>SUM(C10,C26)</f>
        <v>522933</v>
      </c>
      <c r="D9" s="409">
        <f>SUM(D10,D26)</f>
        <v>523036</v>
      </c>
      <c r="E9" s="111"/>
      <c r="G9" s="465">
        <f>K9+N9+Q9+T9</f>
        <v>522032.9</v>
      </c>
      <c r="H9" s="465">
        <f>L9+O9+R9+U9</f>
        <v>523035.86000000004</v>
      </c>
      <c r="K9" s="7">
        <v>257911.62</v>
      </c>
      <c r="L9" s="7">
        <v>257911.62</v>
      </c>
      <c r="N9" s="409">
        <f>SUM(N10,N26)</f>
        <v>17.64</v>
      </c>
      <c r="O9" s="409">
        <f>SUM(O10,O26)</f>
        <v>17.64</v>
      </c>
      <c r="Q9" s="409">
        <f>SUM(Q10,Q26)</f>
        <v>184050.03</v>
      </c>
      <c r="R9" s="409">
        <f>SUM(R10,R26)</f>
        <v>184950.03</v>
      </c>
      <c r="T9" s="409">
        <f>SUM(T10,T26)</f>
        <v>80053.61</v>
      </c>
      <c r="U9" s="409">
        <f>SUM(U10,U26)</f>
        <v>80156.570000000007</v>
      </c>
    </row>
    <row r="10" spans="1:21" s="7" customFormat="1" x14ac:dyDescent="0.3">
      <c r="A10" s="85">
        <v>1.1000000000000001</v>
      </c>
      <c r="B10" s="85" t="s">
        <v>69</v>
      </c>
      <c r="C10" s="409">
        <f>SUM(C11,C12,C16,C19,C25,C26)</f>
        <v>522933</v>
      </c>
      <c r="D10" s="409">
        <f>SUM(D11,D12,D16,D19,D24,D25)</f>
        <v>523036</v>
      </c>
      <c r="E10" s="111"/>
      <c r="K10" s="7">
        <v>257911.62</v>
      </c>
      <c r="L10" s="7">
        <v>257911.62</v>
      </c>
      <c r="N10" s="409">
        <f>SUM(N11,N12,N16,N19,N25,N26)</f>
        <v>17.64</v>
      </c>
      <c r="O10" s="409">
        <f>SUM(O11,O12,O16,O19,O24,O25)</f>
        <v>17.64</v>
      </c>
      <c r="Q10" s="409">
        <f>SUM(Q11,Q12,Q16,Q19,Q25,Q26)</f>
        <v>184050.03</v>
      </c>
      <c r="R10" s="409">
        <f>SUM(R11,R12,R16,R19,R24,R25)</f>
        <v>184950.03</v>
      </c>
      <c r="T10" s="409">
        <f>SUM(T11,T12,T16,T19,T25,T26)</f>
        <v>80053.61</v>
      </c>
      <c r="U10" s="409">
        <f>SUM(U11,U12,U16,U19,U24,U25)</f>
        <v>80156.570000000007</v>
      </c>
    </row>
    <row r="11" spans="1:21" s="9" customFormat="1" ht="18" x14ac:dyDescent="0.3">
      <c r="A11" s="86" t="s">
        <v>30</v>
      </c>
      <c r="B11" s="86" t="s">
        <v>68</v>
      </c>
      <c r="C11" s="8">
        <v>40</v>
      </c>
      <c r="D11" s="8">
        <v>40</v>
      </c>
      <c r="E11" s="111"/>
      <c r="G11" s="9">
        <f>K11+N11+Q11+T11</f>
        <v>40</v>
      </c>
      <c r="H11" s="9">
        <f>L11+O11+R11+U11</f>
        <v>40</v>
      </c>
      <c r="K11" s="9">
        <v>20</v>
      </c>
      <c r="L11" s="9">
        <v>20</v>
      </c>
      <c r="N11" s="8"/>
      <c r="O11" s="8"/>
      <c r="Q11" s="8">
        <v>20</v>
      </c>
      <c r="R11" s="8">
        <v>20</v>
      </c>
      <c r="T11" s="8"/>
      <c r="U11" s="8"/>
    </row>
    <row r="12" spans="1:21" s="10" customFormat="1" x14ac:dyDescent="0.3">
      <c r="A12" s="86" t="s">
        <v>31</v>
      </c>
      <c r="B12" s="86" t="s">
        <v>290</v>
      </c>
      <c r="C12" s="105">
        <f>SUM(C13:C15)</f>
        <v>90200</v>
      </c>
      <c r="D12" s="105">
        <f>SUM(D13:D15)</f>
        <v>90200</v>
      </c>
      <c r="E12" s="111"/>
      <c r="K12" s="10">
        <v>0</v>
      </c>
      <c r="L12" s="10">
        <v>0</v>
      </c>
      <c r="N12" s="105">
        <f>SUM(N14:N15)</f>
        <v>0</v>
      </c>
      <c r="O12" s="105">
        <f>SUM(O14:O15)</f>
        <v>0</v>
      </c>
      <c r="Q12" s="105">
        <f>SUM(Q13:Q15)</f>
        <v>10200</v>
      </c>
      <c r="R12" s="105">
        <f>SUM(R13:R15)</f>
        <v>10200</v>
      </c>
      <c r="T12" s="105">
        <f>SUM(T13:T15)</f>
        <v>80000</v>
      </c>
      <c r="U12" s="105">
        <f>SUM(U13:U15)</f>
        <v>80000</v>
      </c>
    </row>
    <row r="13" spans="1:21" s="3" customFormat="1" x14ac:dyDescent="0.3">
      <c r="A13" s="95" t="s">
        <v>70</v>
      </c>
      <c r="B13" s="95" t="s">
        <v>293</v>
      </c>
      <c r="C13" s="8">
        <v>90000</v>
      </c>
      <c r="D13" s="8">
        <v>90000</v>
      </c>
      <c r="E13" s="111"/>
      <c r="G13" s="3">
        <f>K13+N13+Q13+T13</f>
        <v>90000</v>
      </c>
      <c r="H13" s="3">
        <f>L13+O13+R13+U13</f>
        <v>90000</v>
      </c>
      <c r="N13" s="8"/>
      <c r="O13" s="8"/>
      <c r="Q13" s="8">
        <v>10000</v>
      </c>
      <c r="R13" s="8">
        <v>10000</v>
      </c>
      <c r="T13" s="8">
        <v>80000</v>
      </c>
      <c r="U13" s="8">
        <v>80000</v>
      </c>
    </row>
    <row r="14" spans="1:21" s="3" customFormat="1" x14ac:dyDescent="0.3">
      <c r="A14" s="95" t="s">
        <v>437</v>
      </c>
      <c r="B14" s="95" t="s">
        <v>436</v>
      </c>
      <c r="C14" s="8">
        <v>200</v>
      </c>
      <c r="D14" s="8">
        <v>200</v>
      </c>
      <c r="E14" s="111"/>
      <c r="G14" s="3">
        <f>K14+N14+Q14</f>
        <v>200</v>
      </c>
      <c r="H14" s="3">
        <f>L14+O14+R14</f>
        <v>200</v>
      </c>
      <c r="N14" s="8"/>
      <c r="O14" s="8"/>
      <c r="Q14" s="8">
        <v>200</v>
      </c>
      <c r="R14" s="8">
        <v>200</v>
      </c>
      <c r="T14" s="8"/>
      <c r="U14" s="8"/>
    </row>
    <row r="15" spans="1:21" s="3" customFormat="1" x14ac:dyDescent="0.3">
      <c r="A15" s="95" t="s">
        <v>438</v>
      </c>
      <c r="B15" s="95" t="s">
        <v>86</v>
      </c>
      <c r="C15" s="8"/>
      <c r="D15" s="8"/>
      <c r="E15" s="111"/>
      <c r="N15" s="8"/>
      <c r="O15" s="8"/>
      <c r="Q15" s="8"/>
      <c r="R15" s="8"/>
      <c r="T15" s="8"/>
      <c r="U15" s="8"/>
    </row>
    <row r="16" spans="1:21" s="3" customFormat="1" x14ac:dyDescent="0.3">
      <c r="A16" s="86" t="s">
        <v>71</v>
      </c>
      <c r="B16" s="86" t="s">
        <v>72</v>
      </c>
      <c r="C16" s="105">
        <f>SUM(C17:C18)</f>
        <v>431909</v>
      </c>
      <c r="D16" s="105">
        <f>SUM(D17:D18)</f>
        <v>431909</v>
      </c>
      <c r="E16" s="111"/>
      <c r="K16" s="3">
        <v>257589</v>
      </c>
      <c r="L16" s="3">
        <v>257589</v>
      </c>
      <c r="N16" s="105">
        <f>SUM(N17:N18)</f>
        <v>0</v>
      </c>
      <c r="O16" s="105">
        <f>SUM(O17:O18)</f>
        <v>0</v>
      </c>
      <c r="Q16" s="105">
        <f>SUM(Q17:Q18)</f>
        <v>173420</v>
      </c>
      <c r="R16" s="105">
        <f>SUM(R17:R18)</f>
        <v>174320</v>
      </c>
      <c r="T16" s="105">
        <f>SUM(T17:T18)</f>
        <v>0</v>
      </c>
      <c r="U16" s="105">
        <f>SUM(U17:U18)</f>
        <v>0</v>
      </c>
    </row>
    <row r="17" spans="1:21" s="3" customFormat="1" x14ac:dyDescent="0.3">
      <c r="A17" s="95" t="s">
        <v>73</v>
      </c>
      <c r="B17" s="95" t="s">
        <v>75</v>
      </c>
      <c r="C17" s="8">
        <f>431009-84169+900</f>
        <v>347740</v>
      </c>
      <c r="D17" s="8">
        <f>431909-84169</f>
        <v>347740</v>
      </c>
      <c r="E17" s="111"/>
      <c r="G17" s="3">
        <f>K17+N17+Q17+K18</f>
        <v>431009</v>
      </c>
      <c r="H17" s="3">
        <f>L17+O17+R17+L18</f>
        <v>431909</v>
      </c>
      <c r="K17" s="3">
        <v>84169</v>
      </c>
      <c r="L17" s="3">
        <v>84169</v>
      </c>
      <c r="N17" s="8"/>
      <c r="O17" s="8"/>
      <c r="Q17" s="8">
        <v>173420</v>
      </c>
      <c r="R17" s="8">
        <f>173420+900</f>
        <v>174320</v>
      </c>
      <c r="T17" s="8"/>
      <c r="U17" s="8"/>
    </row>
    <row r="18" spans="1:21" s="3" customFormat="1" ht="30" x14ac:dyDescent="0.3">
      <c r="A18" s="95" t="s">
        <v>74</v>
      </c>
      <c r="B18" s="95" t="s">
        <v>98</v>
      </c>
      <c r="C18" s="8">
        <v>84169</v>
      </c>
      <c r="D18" s="8">
        <v>84169</v>
      </c>
      <c r="E18" s="111"/>
      <c r="K18" s="3">
        <v>173420</v>
      </c>
      <c r="L18" s="3">
        <v>173420</v>
      </c>
      <c r="N18" s="8"/>
      <c r="O18" s="8"/>
      <c r="Q18" s="8"/>
      <c r="R18" s="8"/>
      <c r="T18" s="8"/>
      <c r="U18" s="8"/>
    </row>
    <row r="19" spans="1:21" s="3" customFormat="1" x14ac:dyDescent="0.3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11"/>
      <c r="K19" s="3">
        <v>0</v>
      </c>
      <c r="L19" s="3">
        <v>0</v>
      </c>
      <c r="N19" s="105">
        <f>SUM(N20:N23)</f>
        <v>0</v>
      </c>
      <c r="O19" s="105">
        <f>SUM(O20:O23)</f>
        <v>0</v>
      </c>
      <c r="Q19" s="105">
        <f>SUM(Q20:Q23)</f>
        <v>0</v>
      </c>
      <c r="R19" s="105">
        <f>SUM(R20:R23)</f>
        <v>0</v>
      </c>
      <c r="T19" s="105">
        <f>SUM(T20:T23)</f>
        <v>0</v>
      </c>
      <c r="U19" s="105">
        <f>SUM(U20:U23)</f>
        <v>0</v>
      </c>
    </row>
    <row r="20" spans="1:21" s="3" customFormat="1" x14ac:dyDescent="0.3">
      <c r="A20" s="95" t="s">
        <v>77</v>
      </c>
      <c r="B20" s="95" t="s">
        <v>78</v>
      </c>
      <c r="C20" s="8"/>
      <c r="D20" s="8"/>
      <c r="E20" s="111"/>
      <c r="N20" s="8"/>
      <c r="O20" s="8"/>
      <c r="Q20" s="8"/>
      <c r="R20" s="8"/>
      <c r="T20" s="8"/>
      <c r="U20" s="8"/>
    </row>
    <row r="21" spans="1:21" s="3" customFormat="1" ht="30" x14ac:dyDescent="0.3">
      <c r="A21" s="95" t="s">
        <v>81</v>
      </c>
      <c r="B21" s="95" t="s">
        <v>79</v>
      </c>
      <c r="C21" s="8"/>
      <c r="D21" s="8"/>
      <c r="E21" s="111"/>
      <c r="N21" s="8"/>
      <c r="O21" s="8"/>
      <c r="Q21" s="8"/>
      <c r="R21" s="8"/>
      <c r="T21" s="8"/>
      <c r="U21" s="8"/>
    </row>
    <row r="22" spans="1:21" s="3" customFormat="1" x14ac:dyDescent="0.3">
      <c r="A22" s="95" t="s">
        <v>82</v>
      </c>
      <c r="B22" s="95" t="s">
        <v>80</v>
      </c>
      <c r="C22" s="8"/>
      <c r="D22" s="8"/>
      <c r="E22" s="111"/>
      <c r="N22" s="8"/>
      <c r="O22" s="8"/>
      <c r="Q22" s="8"/>
      <c r="R22" s="8"/>
      <c r="T22" s="8"/>
      <c r="U22" s="8"/>
    </row>
    <row r="23" spans="1:21" s="3" customFormat="1" x14ac:dyDescent="0.3">
      <c r="A23" s="95" t="s">
        <v>83</v>
      </c>
      <c r="B23" s="95" t="s">
        <v>384</v>
      </c>
      <c r="C23" s="8"/>
      <c r="D23" s="8"/>
      <c r="E23" s="111"/>
      <c r="N23" s="8"/>
      <c r="O23" s="8"/>
      <c r="Q23" s="8"/>
      <c r="R23" s="8"/>
      <c r="T23" s="8"/>
      <c r="U23" s="8"/>
    </row>
    <row r="24" spans="1:21" s="3" customFormat="1" x14ac:dyDescent="0.3">
      <c r="A24" s="86" t="s">
        <v>84</v>
      </c>
      <c r="B24" s="86" t="s">
        <v>385</v>
      </c>
      <c r="C24" s="233"/>
      <c r="D24" s="8"/>
      <c r="E24" s="111"/>
      <c r="N24" s="233"/>
      <c r="O24" s="8"/>
      <c r="Q24" s="233"/>
      <c r="R24" s="8"/>
      <c r="T24" s="233"/>
      <c r="U24" s="8"/>
    </row>
    <row r="25" spans="1:21" s="3" customFormat="1" x14ac:dyDescent="0.3">
      <c r="A25" s="86" t="s">
        <v>234</v>
      </c>
      <c r="B25" s="86" t="s">
        <v>391</v>
      </c>
      <c r="C25" s="407">
        <f>730+54</f>
        <v>784</v>
      </c>
      <c r="D25" s="407">
        <f>730+157</f>
        <v>887</v>
      </c>
      <c r="E25" s="111"/>
      <c r="G25" s="464">
        <f>K25+N25+Q25+T25</f>
        <v>783.9</v>
      </c>
      <c r="H25" s="464">
        <f>L25+O25+R25+U25</f>
        <v>886.8599999999999</v>
      </c>
      <c r="K25" s="3">
        <v>302.62</v>
      </c>
      <c r="L25" s="3">
        <v>302.62</v>
      </c>
      <c r="N25" s="407">
        <v>17.64</v>
      </c>
      <c r="O25" s="407">
        <v>17.64</v>
      </c>
      <c r="Q25" s="407">
        <v>410.03</v>
      </c>
      <c r="R25" s="407">
        <v>410.03</v>
      </c>
      <c r="T25" s="407">
        <f>164.63-102.96-8.06</f>
        <v>53.61</v>
      </c>
      <c r="U25" s="407">
        <f>164.63-8.06</f>
        <v>156.57</v>
      </c>
    </row>
    <row r="26" spans="1:21" x14ac:dyDescent="0.3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11"/>
      <c r="K26" s="21">
        <v>0</v>
      </c>
      <c r="L26" s="21">
        <v>0</v>
      </c>
      <c r="N26" s="83">
        <f>SUM(N27,N35)</f>
        <v>0</v>
      </c>
      <c r="O26" s="83">
        <f>SUM(O27,O35)</f>
        <v>0</v>
      </c>
      <c r="Q26" s="83">
        <f>SUM(Q27,Q35)</f>
        <v>0</v>
      </c>
      <c r="R26" s="83">
        <f>SUM(R27,R35)</f>
        <v>0</v>
      </c>
      <c r="T26" s="83">
        <f>SUM(T27,T35)</f>
        <v>0</v>
      </c>
      <c r="U26" s="83">
        <f>SUM(U27,U35)</f>
        <v>0</v>
      </c>
    </row>
    <row r="27" spans="1:21" x14ac:dyDescent="0.3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11"/>
      <c r="K27" s="21">
        <v>0</v>
      </c>
      <c r="L27" s="21">
        <v>0</v>
      </c>
      <c r="N27" s="105">
        <f>SUM(N28:N30)</f>
        <v>0</v>
      </c>
      <c r="O27" s="105">
        <f>SUM(O28:O30)</f>
        <v>0</v>
      </c>
      <c r="Q27" s="105">
        <f>SUM(Q28:Q30)</f>
        <v>0</v>
      </c>
      <c r="R27" s="105">
        <f>SUM(R28:R30)</f>
        <v>0</v>
      </c>
      <c r="T27" s="105">
        <f>SUM(T28:T30)</f>
        <v>0</v>
      </c>
      <c r="U27" s="105">
        <f>SUM(U28:U30)</f>
        <v>0</v>
      </c>
    </row>
    <row r="28" spans="1:21" x14ac:dyDescent="0.3">
      <c r="A28" s="219" t="s">
        <v>87</v>
      </c>
      <c r="B28" s="219" t="s">
        <v>291</v>
      </c>
      <c r="C28" s="8"/>
      <c r="D28" s="8"/>
      <c r="E28" s="111"/>
      <c r="N28" s="8"/>
      <c r="O28" s="8"/>
      <c r="Q28" s="8"/>
      <c r="R28" s="8"/>
      <c r="T28" s="8"/>
      <c r="U28" s="8"/>
    </row>
    <row r="29" spans="1:21" x14ac:dyDescent="0.3">
      <c r="A29" s="219" t="s">
        <v>88</v>
      </c>
      <c r="B29" s="219" t="s">
        <v>294</v>
      </c>
      <c r="C29" s="8"/>
      <c r="D29" s="8"/>
      <c r="E29" s="111"/>
      <c r="N29" s="8"/>
      <c r="O29" s="8"/>
      <c r="Q29" s="8"/>
      <c r="R29" s="8"/>
      <c r="T29" s="8"/>
      <c r="U29" s="8"/>
    </row>
    <row r="30" spans="1:21" x14ac:dyDescent="0.3">
      <c r="A30" s="219" t="s">
        <v>393</v>
      </c>
      <c r="B30" s="219" t="s">
        <v>292</v>
      </c>
      <c r="C30" s="8"/>
      <c r="D30" s="8"/>
      <c r="E30" s="111"/>
      <c r="N30" s="8"/>
      <c r="O30" s="8"/>
      <c r="Q30" s="8"/>
      <c r="R30" s="8"/>
      <c r="T30" s="8"/>
      <c r="U30" s="8"/>
    </row>
    <row r="31" spans="1:21" x14ac:dyDescent="0.3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11"/>
      <c r="K31" s="21">
        <v>0</v>
      </c>
      <c r="L31" s="21">
        <v>0</v>
      </c>
      <c r="N31" s="105">
        <f>SUM(N32:N34)</f>
        <v>0</v>
      </c>
      <c r="O31" s="105">
        <f>SUM(O32:O34)</f>
        <v>0</v>
      </c>
      <c r="Q31" s="105">
        <f>SUM(Q32:Q34)</f>
        <v>0</v>
      </c>
      <c r="R31" s="105">
        <f>SUM(R32:R34)</f>
        <v>0</v>
      </c>
      <c r="T31" s="105">
        <f>SUM(T32:T34)</f>
        <v>0</v>
      </c>
      <c r="U31" s="105">
        <f>SUM(U32:U34)</f>
        <v>0</v>
      </c>
    </row>
    <row r="32" spans="1:21" x14ac:dyDescent="0.3">
      <c r="A32" s="219" t="s">
        <v>12</v>
      </c>
      <c r="B32" s="219" t="s">
        <v>439</v>
      </c>
      <c r="C32" s="8"/>
      <c r="D32" s="8"/>
      <c r="E32" s="111"/>
      <c r="N32" s="8"/>
      <c r="O32" s="8"/>
      <c r="Q32" s="8"/>
      <c r="R32" s="8"/>
      <c r="T32" s="8"/>
      <c r="U32" s="8"/>
    </row>
    <row r="33" spans="1:21" x14ac:dyDescent="0.3">
      <c r="A33" s="219" t="s">
        <v>13</v>
      </c>
      <c r="B33" s="219" t="s">
        <v>440</v>
      </c>
      <c r="C33" s="8"/>
      <c r="D33" s="8"/>
      <c r="E33" s="111"/>
      <c r="N33" s="8"/>
      <c r="O33" s="8"/>
      <c r="Q33" s="8"/>
      <c r="R33" s="8"/>
      <c r="T33" s="8"/>
      <c r="U33" s="8"/>
    </row>
    <row r="34" spans="1:21" x14ac:dyDescent="0.3">
      <c r="A34" s="219" t="s">
        <v>264</v>
      </c>
      <c r="B34" s="219" t="s">
        <v>441</v>
      </c>
      <c r="C34" s="8"/>
      <c r="D34" s="8"/>
      <c r="E34" s="111"/>
      <c r="N34" s="8"/>
      <c r="O34" s="8"/>
      <c r="Q34" s="8"/>
      <c r="R34" s="8"/>
      <c r="T34" s="8"/>
      <c r="U34" s="8"/>
    </row>
    <row r="35" spans="1:21" s="23" customFormat="1" x14ac:dyDescent="0.3">
      <c r="A35" s="86" t="s">
        <v>34</v>
      </c>
      <c r="B35" s="232" t="s">
        <v>390</v>
      </c>
      <c r="C35" s="8"/>
      <c r="D35" s="8"/>
      <c r="N35" s="8"/>
      <c r="O35" s="8"/>
      <c r="Q35" s="8"/>
      <c r="R35" s="8"/>
      <c r="T35" s="8"/>
      <c r="U35" s="8"/>
    </row>
    <row r="36" spans="1:21" s="2" customFormat="1" x14ac:dyDescent="0.3">
      <c r="A36" s="1"/>
      <c r="B36" s="227"/>
      <c r="E36" s="5"/>
    </row>
    <row r="37" spans="1:21" s="2" customFormat="1" x14ac:dyDescent="0.3">
      <c r="B37" s="227"/>
      <c r="E37" s="5"/>
    </row>
    <row r="38" spans="1:21" x14ac:dyDescent="0.3">
      <c r="A38" s="1"/>
    </row>
    <row r="39" spans="1:21" x14ac:dyDescent="0.3">
      <c r="A39" s="2"/>
    </row>
    <row r="40" spans="1:21" s="2" customFormat="1" x14ac:dyDescent="0.3">
      <c r="A40" s="67" t="s">
        <v>96</v>
      </c>
      <c r="B40" s="227"/>
      <c r="E40" s="5"/>
    </row>
    <row r="41" spans="1:21" s="2" customFormat="1" x14ac:dyDescent="0.3">
      <c r="B41" s="227"/>
      <c r="E41"/>
      <c r="F41"/>
      <c r="G41"/>
      <c r="H41"/>
      <c r="I41"/>
      <c r="J41"/>
      <c r="K41"/>
    </row>
    <row r="42" spans="1:21" s="2" customFormat="1" x14ac:dyDescent="0.3">
      <c r="B42" s="227"/>
      <c r="D42" s="12"/>
      <c r="E42"/>
      <c r="F42"/>
      <c r="G42"/>
      <c r="H42"/>
      <c r="I42"/>
      <c r="J42"/>
      <c r="K42"/>
    </row>
    <row r="43" spans="1:21" s="2" customFormat="1" x14ac:dyDescent="0.3">
      <c r="A43"/>
      <c r="B43" s="229" t="s">
        <v>388</v>
      </c>
      <c r="D43" s="12"/>
      <c r="E43"/>
      <c r="F43"/>
      <c r="G43"/>
      <c r="H43"/>
      <c r="I43"/>
      <c r="J43"/>
      <c r="K43"/>
    </row>
    <row r="44" spans="1:21" s="2" customFormat="1" x14ac:dyDescent="0.3">
      <c r="A44"/>
      <c r="B44" s="227" t="s">
        <v>253</v>
      </c>
      <c r="D44" s="12"/>
      <c r="E44"/>
      <c r="F44"/>
      <c r="G44"/>
      <c r="H44"/>
      <c r="I44"/>
      <c r="J44"/>
      <c r="K44"/>
    </row>
    <row r="45" spans="1:21" customFormat="1" ht="12.75" x14ac:dyDescent="0.2">
      <c r="B45" s="230" t="s">
        <v>127</v>
      </c>
    </row>
    <row r="46" spans="1:21" customFormat="1" ht="12.75" x14ac:dyDescent="0.2">
      <c r="B46" s="23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showGridLines="0" view="pageBreakPreview" zoomScale="80" zoomScaleNormal="100" zoomScaleSheetLayoutView="80" workbookViewId="0">
      <selection activeCell="F1" sqref="F1:T1048576"/>
    </sheetView>
  </sheetViews>
  <sheetFormatPr defaultColWidth="9.140625"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20" width="0" style="2" hidden="1" customWidth="1"/>
    <col min="21" max="16384" width="9.140625" style="2"/>
  </cols>
  <sheetData>
    <row r="1" spans="1:20" s="6" customFormat="1" x14ac:dyDescent="0.3">
      <c r="A1" s="72" t="s">
        <v>453</v>
      </c>
      <c r="B1" s="208"/>
      <c r="C1" s="481" t="s">
        <v>97</v>
      </c>
      <c r="D1" s="481"/>
      <c r="E1" s="89"/>
      <c r="G1" s="6">
        <f>J:J+M:M+P:P+S:S</f>
        <v>0</v>
      </c>
      <c r="H1" s="6">
        <f>K:K+N:N+Q:Q+T:T</f>
        <v>0</v>
      </c>
    </row>
    <row r="2" spans="1:20" s="6" customFormat="1" x14ac:dyDescent="0.3">
      <c r="A2" s="377" t="s">
        <v>454</v>
      </c>
      <c r="B2" s="208"/>
      <c r="C2" s="471" t="s">
        <v>1112</v>
      </c>
      <c r="D2" s="472"/>
      <c r="E2" s="89"/>
      <c r="G2" s="6">
        <f t="shared" ref="G2:G65" si="0">J:J+M:M+P:P+S:S</f>
        <v>0</v>
      </c>
      <c r="H2" s="6">
        <f t="shared" ref="H2:H65" si="1">K:K+N:N+Q:Q+T:T</f>
        <v>0</v>
      </c>
    </row>
    <row r="3" spans="1:20" s="6" customFormat="1" x14ac:dyDescent="0.3">
      <c r="A3" s="377" t="s">
        <v>452</v>
      </c>
      <c r="B3" s="208"/>
      <c r="C3" s="209"/>
      <c r="D3" s="209"/>
      <c r="E3" s="89"/>
      <c r="G3" s="6">
        <f t="shared" si="0"/>
        <v>0</v>
      </c>
      <c r="H3" s="6">
        <f t="shared" si="1"/>
        <v>0</v>
      </c>
    </row>
    <row r="4" spans="1:20" s="6" customFormat="1" x14ac:dyDescent="0.3">
      <c r="A4" s="74" t="s">
        <v>128</v>
      </c>
      <c r="B4" s="208"/>
      <c r="C4" s="209"/>
      <c r="D4" s="209"/>
      <c r="E4" s="89"/>
      <c r="G4" s="6">
        <f t="shared" si="0"/>
        <v>0</v>
      </c>
      <c r="H4" s="6">
        <f t="shared" si="1"/>
        <v>0</v>
      </c>
    </row>
    <row r="5" spans="1:20" s="6" customFormat="1" x14ac:dyDescent="0.3">
      <c r="A5" s="74"/>
      <c r="B5" s="208"/>
      <c r="C5" s="209"/>
      <c r="D5" s="209"/>
      <c r="E5" s="89"/>
      <c r="G5" s="6">
        <f t="shared" si="0"/>
        <v>0</v>
      </c>
      <c r="H5" s="6">
        <f t="shared" si="1"/>
        <v>0</v>
      </c>
    </row>
    <row r="6" spans="1:20" x14ac:dyDescent="0.3">
      <c r="A6" s="75" t="str">
        <f>'[2]ფორმა N2'!A4</f>
        <v>ანგარიშვალდებული პირის დასახელება:</v>
      </c>
      <c r="B6" s="75"/>
      <c r="C6" s="74"/>
      <c r="D6" s="74"/>
      <c r="E6" s="90"/>
      <c r="G6" s="6">
        <f t="shared" si="0"/>
        <v>0</v>
      </c>
      <c r="H6" s="6">
        <f t="shared" si="1"/>
        <v>0</v>
      </c>
    </row>
    <row r="7" spans="1:20" x14ac:dyDescent="0.3">
      <c r="A7" s="210" t="str">
        <f>'ფორმა N1'!A5</f>
        <v>მპგ ,, ქართული ოცნება დემოკრატიული საქართველო"</v>
      </c>
      <c r="B7" s="78"/>
      <c r="C7" s="79"/>
      <c r="D7" s="79"/>
      <c r="E7" s="90"/>
      <c r="G7" s="6">
        <f t="shared" si="0"/>
        <v>0</v>
      </c>
      <c r="H7" s="6">
        <f t="shared" si="1"/>
        <v>0</v>
      </c>
    </row>
    <row r="8" spans="1:20" x14ac:dyDescent="0.3">
      <c r="A8" s="75"/>
      <c r="B8" s="75"/>
      <c r="C8" s="74"/>
      <c r="D8" s="74"/>
      <c r="E8" s="90"/>
      <c r="G8" s="6">
        <f t="shared" si="0"/>
        <v>0</v>
      </c>
      <c r="H8" s="6">
        <f t="shared" si="1"/>
        <v>0</v>
      </c>
    </row>
    <row r="9" spans="1:20" s="6" customFormat="1" x14ac:dyDescent="0.3">
      <c r="A9" s="208"/>
      <c r="B9" s="208"/>
      <c r="C9" s="76"/>
      <c r="D9" s="76"/>
      <c r="E9" s="89"/>
      <c r="G9" s="6">
        <f t="shared" si="0"/>
        <v>0</v>
      </c>
      <c r="H9" s="6">
        <f t="shared" si="1"/>
        <v>0</v>
      </c>
    </row>
    <row r="10" spans="1:20" s="6" customFormat="1" ht="30" x14ac:dyDescent="0.3">
      <c r="A10" s="87" t="s">
        <v>64</v>
      </c>
      <c r="B10" s="88" t="s">
        <v>11</v>
      </c>
      <c r="C10" s="77" t="s">
        <v>10</v>
      </c>
      <c r="D10" s="77" t="s">
        <v>9</v>
      </c>
      <c r="E10" s="89"/>
      <c r="G10" s="6" t="e">
        <f t="shared" si="0"/>
        <v>#VALUE!</v>
      </c>
      <c r="H10" s="6">
        <f t="shared" si="1"/>
        <v>0</v>
      </c>
      <c r="J10" s="6" t="s">
        <v>934</v>
      </c>
      <c r="M10" s="6" t="s">
        <v>937</v>
      </c>
      <c r="P10" s="471" t="s">
        <v>931</v>
      </c>
      <c r="Q10" s="472"/>
      <c r="S10" s="6" t="s">
        <v>1121</v>
      </c>
    </row>
    <row r="11" spans="1:20" s="7" customFormat="1" x14ac:dyDescent="0.3">
      <c r="A11" s="211">
        <v>1</v>
      </c>
      <c r="B11" s="211" t="s">
        <v>57</v>
      </c>
      <c r="C11" s="80">
        <f>SUM(C12,C16,C56,C59,C60,C61,C79)</f>
        <v>583543.85000000009</v>
      </c>
      <c r="D11" s="80">
        <f>SUM(D12,D16,D56,D59,D60,D61,D67,D75,D76)</f>
        <v>528470.93999999994</v>
      </c>
      <c r="E11" s="212"/>
      <c r="G11" s="6">
        <f t="shared" si="0"/>
        <v>583543.6</v>
      </c>
      <c r="H11" s="6">
        <f t="shared" si="1"/>
        <v>528470.94999999995</v>
      </c>
      <c r="J11" s="80">
        <f>SUM(J12,J16,J56,J59,J60,J61,J79)</f>
        <v>223417.41999999998</v>
      </c>
      <c r="K11" s="80">
        <f>SUM(K12,K16,K56,K59,K60,K61,K67,K75,K76)</f>
        <v>130741.59</v>
      </c>
      <c r="M11" s="80">
        <f>SUM(M12,M16,M56,M59,M60,M61,M79)</f>
        <v>149913.63</v>
      </c>
      <c r="N11" s="80">
        <f>SUM(N12,N16,N56,N59,N60,N61,N67,N75,N76)</f>
        <v>136016.13</v>
      </c>
      <c r="P11" s="80">
        <f>SUM(P12,P16,P56,P59,P60,P61,P79)</f>
        <v>143404.29</v>
      </c>
      <c r="Q11" s="80">
        <f>SUM(Q12,Q16,Q56,Q59,Q60,Q61,Q67,Q75,Q76)</f>
        <v>151755.76</v>
      </c>
      <c r="S11" s="80">
        <f>SUM(S12,S16,S56,S59,S60,S61,S79)</f>
        <v>66808.259999999995</v>
      </c>
      <c r="T11" s="80">
        <f>SUM(T12,T16,T56,T59,T60,T61,T67,T75,T76)</f>
        <v>109957.47</v>
      </c>
    </row>
    <row r="12" spans="1:20" s="9" customFormat="1" ht="18" x14ac:dyDescent="0.3">
      <c r="A12" s="85">
        <v>1.1000000000000001</v>
      </c>
      <c r="B12" s="85" t="s">
        <v>58</v>
      </c>
      <c r="C12" s="81">
        <f>SUM(C13:C14)</f>
        <v>84375</v>
      </c>
      <c r="D12" s="81">
        <f>SUM(D13:D14)</f>
        <v>51250</v>
      </c>
      <c r="E12" s="91"/>
      <c r="G12" s="6">
        <f t="shared" si="0"/>
        <v>84375</v>
      </c>
      <c r="H12" s="6">
        <f t="shared" si="1"/>
        <v>51250</v>
      </c>
      <c r="J12" s="81">
        <f>SUM(J13:J14)</f>
        <v>33125</v>
      </c>
      <c r="K12" s="81">
        <f>SUM(K13:K14)</f>
        <v>0</v>
      </c>
      <c r="M12" s="81">
        <f>SUM(M13:M14)</f>
        <v>24375</v>
      </c>
      <c r="N12" s="81">
        <f>SUM(N13:N14)</f>
        <v>24375</v>
      </c>
      <c r="P12" s="81">
        <f>SUM(P13:P14)</f>
        <v>0</v>
      </c>
      <c r="Q12" s="81">
        <f>SUM(Q13:Q14)</f>
        <v>26875</v>
      </c>
      <c r="S12" s="81">
        <f>SUM(S13:S14)</f>
        <v>26875</v>
      </c>
      <c r="T12" s="81">
        <f>SUM(T13:T14)</f>
        <v>0</v>
      </c>
    </row>
    <row r="13" spans="1:20" s="10" customFormat="1" x14ac:dyDescent="0.3">
      <c r="A13" s="86" t="s">
        <v>30</v>
      </c>
      <c r="B13" s="86" t="s">
        <v>59</v>
      </c>
      <c r="C13" s="4">
        <v>84375</v>
      </c>
      <c r="D13" s="4">
        <v>51250</v>
      </c>
      <c r="E13" s="92"/>
      <c r="G13" s="6">
        <f t="shared" si="0"/>
        <v>84375</v>
      </c>
      <c r="H13" s="6">
        <f t="shared" si="1"/>
        <v>51250</v>
      </c>
      <c r="J13" s="4">
        <v>33125</v>
      </c>
      <c r="K13" s="4"/>
      <c r="M13" s="4">
        <v>24375</v>
      </c>
      <c r="N13" s="4">
        <v>24375</v>
      </c>
      <c r="P13" s="4"/>
      <c r="Q13" s="4">
        <v>26875</v>
      </c>
      <c r="S13" s="4">
        <v>26875</v>
      </c>
      <c r="T13" s="4"/>
    </row>
    <row r="14" spans="1:20" s="3" customFormat="1" x14ac:dyDescent="0.3">
      <c r="A14" s="86" t="s">
        <v>31</v>
      </c>
      <c r="B14" s="86" t="s">
        <v>0</v>
      </c>
      <c r="C14" s="4"/>
      <c r="D14" s="4"/>
      <c r="E14" s="93"/>
      <c r="G14" s="6">
        <f t="shared" si="0"/>
        <v>0</v>
      </c>
      <c r="H14" s="6">
        <f t="shared" si="1"/>
        <v>0</v>
      </c>
      <c r="J14" s="4"/>
      <c r="K14" s="4"/>
      <c r="M14" s="4"/>
      <c r="N14" s="4"/>
      <c r="P14" s="4"/>
      <c r="Q14" s="4"/>
      <c r="S14" s="4"/>
      <c r="T14" s="4"/>
    </row>
    <row r="15" spans="1:20" s="3" customFormat="1" x14ac:dyDescent="0.3">
      <c r="A15" s="378" t="s">
        <v>455</v>
      </c>
      <c r="B15" s="379" t="s">
        <v>456</v>
      </c>
      <c r="C15" s="4"/>
      <c r="D15" s="4"/>
      <c r="E15" s="93"/>
      <c r="G15" s="6">
        <f t="shared" si="0"/>
        <v>0</v>
      </c>
      <c r="H15" s="6">
        <f t="shared" si="1"/>
        <v>0</v>
      </c>
      <c r="J15" s="4"/>
      <c r="K15" s="4"/>
      <c r="M15" s="4"/>
      <c r="N15" s="4"/>
      <c r="P15" s="4"/>
      <c r="Q15" s="4"/>
      <c r="S15" s="4"/>
      <c r="T15" s="4"/>
    </row>
    <row r="16" spans="1:20" s="7" customFormat="1" x14ac:dyDescent="0.3">
      <c r="A16" s="85">
        <v>1.2</v>
      </c>
      <c r="B16" s="85" t="s">
        <v>60</v>
      </c>
      <c r="C16" s="82">
        <f>SUM(C17,C20,C32,C33,C34,C35,C38,C39,C46:C50,C54,C55)</f>
        <v>499099.38000000006</v>
      </c>
      <c r="D16" s="82">
        <f>SUM(D17,D20,D32,D33,D34,D35,D38,D39,D46:D50,D54,D55)</f>
        <v>476085.93999999994</v>
      </c>
      <c r="E16" s="212"/>
      <c r="G16" s="6">
        <f t="shared" si="0"/>
        <v>499099.13</v>
      </c>
      <c r="H16" s="6">
        <f t="shared" si="1"/>
        <v>476085.94999999995</v>
      </c>
      <c r="J16" s="82">
        <f>SUM(J17,J20,J32,J33,J34,J35,J38,J39,J46:J50,J54,J55)</f>
        <v>190228.71</v>
      </c>
      <c r="K16" s="82">
        <f>SUM(K17,K20,K32,K33,K34,K35,K38,K39,K46:K50,K54,K55)</f>
        <v>130741.59</v>
      </c>
      <c r="M16" s="82">
        <f>SUM(M17,M20,M32,M33,M34,M35,M38,M39,M46:M50,M54,M55)</f>
        <v>125532.87</v>
      </c>
      <c r="N16" s="82">
        <f>SUM(N17,N20,N32,N33,N34,N35,N38,N39,N46:N50,N54,N55)</f>
        <v>111056.13</v>
      </c>
      <c r="P16" s="82">
        <f>SUM(P17,P20,P32,P33,P34,P35,P38,P39,P46:P50,P54,P55)</f>
        <v>143404.29</v>
      </c>
      <c r="Q16" s="82">
        <f>SUM(Q17,Q20,Q32,Q33,Q34,Q35,Q38,Q39,Q46:Q50,Q54,Q55)</f>
        <v>124880.76</v>
      </c>
      <c r="S16" s="82">
        <f>SUM(S17,S20,S32,S33,S34,S35,S38,S39,S46:S50,S54,S55)</f>
        <v>39933.259999999995</v>
      </c>
      <c r="T16" s="82">
        <f>SUM(T17,T20,T32,T33,T34,T35,T38,T39,T46:T50,T54,T55)</f>
        <v>109407.47</v>
      </c>
    </row>
    <row r="17" spans="1:20" s="3" customFormat="1" x14ac:dyDescent="0.3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  <c r="G17" s="6">
        <f t="shared" si="0"/>
        <v>0</v>
      </c>
      <c r="H17" s="6">
        <f t="shared" si="1"/>
        <v>0</v>
      </c>
      <c r="J17" s="81">
        <f>SUM(J18:J19)</f>
        <v>0</v>
      </c>
      <c r="K17" s="81">
        <f>SUM(K18:K19)</f>
        <v>0</v>
      </c>
      <c r="M17" s="81">
        <f>SUM(M18:M19)</f>
        <v>0</v>
      </c>
      <c r="N17" s="81">
        <f>SUM(N18:N19)</f>
        <v>0</v>
      </c>
      <c r="P17" s="81">
        <f>SUM(P18:P19)</f>
        <v>0</v>
      </c>
      <c r="Q17" s="81">
        <f>SUM(Q18:Q19)</f>
        <v>0</v>
      </c>
      <c r="S17" s="81">
        <f>SUM(S18:S19)</f>
        <v>0</v>
      </c>
      <c r="T17" s="81">
        <f>SUM(T18:T19)</f>
        <v>0</v>
      </c>
    </row>
    <row r="18" spans="1:20" s="3" customFormat="1" x14ac:dyDescent="0.3">
      <c r="A18" s="95" t="s">
        <v>87</v>
      </c>
      <c r="B18" s="95" t="s">
        <v>61</v>
      </c>
      <c r="C18" s="4"/>
      <c r="D18" s="213"/>
      <c r="E18" s="93"/>
      <c r="G18" s="6">
        <f t="shared" si="0"/>
        <v>0</v>
      </c>
      <c r="H18" s="6">
        <f t="shared" si="1"/>
        <v>0</v>
      </c>
      <c r="J18" s="4"/>
      <c r="K18" s="213"/>
      <c r="M18" s="4"/>
      <c r="N18" s="213"/>
      <c r="P18" s="4"/>
      <c r="Q18" s="213"/>
      <c r="S18" s="4"/>
      <c r="T18" s="213"/>
    </row>
    <row r="19" spans="1:20" s="3" customFormat="1" x14ac:dyDescent="0.3">
      <c r="A19" s="95" t="s">
        <v>88</v>
      </c>
      <c r="B19" s="95" t="s">
        <v>62</v>
      </c>
      <c r="C19" s="4"/>
      <c r="D19" s="213"/>
      <c r="E19" s="93"/>
      <c r="G19" s="6">
        <f t="shared" si="0"/>
        <v>0</v>
      </c>
      <c r="H19" s="6">
        <f t="shared" si="1"/>
        <v>0</v>
      </c>
      <c r="J19" s="4"/>
      <c r="K19" s="213"/>
      <c r="M19" s="4"/>
      <c r="N19" s="213"/>
      <c r="P19" s="4"/>
      <c r="Q19" s="213"/>
      <c r="S19" s="4"/>
      <c r="T19" s="213"/>
    </row>
    <row r="20" spans="1:20" s="3" customFormat="1" x14ac:dyDescent="0.3">
      <c r="A20" s="86" t="s">
        <v>33</v>
      </c>
      <c r="B20" s="86" t="s">
        <v>2</v>
      </c>
      <c r="C20" s="81">
        <f>SUM(C21:C26,C31)</f>
        <v>88254.65</v>
      </c>
      <c r="D20" s="81">
        <f>SUM(D21:D26,D31)</f>
        <v>93429.5</v>
      </c>
      <c r="E20" s="214"/>
      <c r="F20" s="215"/>
      <c r="G20" s="6">
        <f t="shared" si="0"/>
        <v>88254.65</v>
      </c>
      <c r="H20" s="6">
        <f t="shared" si="1"/>
        <v>93429.5</v>
      </c>
      <c r="J20" s="81">
        <f>SUM(J21:J26,J31)</f>
        <v>40801.020000000004</v>
      </c>
      <c r="K20" s="81">
        <f>SUM(K21:K26,K31)</f>
        <v>41491.56</v>
      </c>
      <c r="M20" s="81">
        <f>SUM(M21:M26,M31)</f>
        <v>12907.73</v>
      </c>
      <c r="N20" s="81">
        <f>SUM(N21:N26,N31)</f>
        <v>13141.79</v>
      </c>
      <c r="P20" s="81">
        <f>SUM(P21:P26,P31)</f>
        <v>33702.46</v>
      </c>
      <c r="Q20" s="81">
        <f>SUM(Q21:Q26,Q31)</f>
        <v>33702.46</v>
      </c>
      <c r="S20" s="81">
        <f>SUM(S21:S26,S31)</f>
        <v>843.44</v>
      </c>
      <c r="T20" s="81">
        <f>SUM(T21:T26,T31)</f>
        <v>5093.6900000000005</v>
      </c>
    </row>
    <row r="21" spans="1:20" s="218" customFormat="1" ht="30" x14ac:dyDescent="0.3">
      <c r="A21" s="95" t="s">
        <v>12</v>
      </c>
      <c r="B21" s="95" t="s">
        <v>233</v>
      </c>
      <c r="C21" s="415">
        <v>789</v>
      </c>
      <c r="D21" s="415">
        <v>6094.85</v>
      </c>
      <c r="E21" s="217"/>
      <c r="G21" s="6">
        <f t="shared" si="0"/>
        <v>789</v>
      </c>
      <c r="H21" s="6">
        <f t="shared" si="1"/>
        <v>6094.85</v>
      </c>
      <c r="J21" s="415">
        <v>789</v>
      </c>
      <c r="K21" s="415">
        <f>560+789</f>
        <v>1349</v>
      </c>
      <c r="M21" s="415"/>
      <c r="N21" s="415"/>
      <c r="P21" s="415"/>
      <c r="Q21" s="415"/>
      <c r="S21" s="415"/>
      <c r="T21" s="415">
        <v>4745.8500000000004</v>
      </c>
    </row>
    <row r="22" spans="1:20" s="218" customFormat="1" x14ac:dyDescent="0.3">
      <c r="A22" s="95" t="s">
        <v>13</v>
      </c>
      <c r="B22" s="95" t="s">
        <v>14</v>
      </c>
      <c r="C22" s="415"/>
      <c r="D22" s="39"/>
      <c r="E22" s="217"/>
      <c r="G22" s="6">
        <f t="shared" si="0"/>
        <v>0</v>
      </c>
      <c r="H22" s="6">
        <f t="shared" si="1"/>
        <v>0</v>
      </c>
      <c r="J22" s="415"/>
      <c r="K22" s="39"/>
      <c r="M22" s="415"/>
      <c r="N22" s="39"/>
      <c r="P22" s="415"/>
      <c r="Q22" s="39"/>
      <c r="S22" s="415"/>
      <c r="T22" s="39"/>
    </row>
    <row r="23" spans="1:20" s="218" customFormat="1" ht="30" x14ac:dyDescent="0.3">
      <c r="A23" s="95" t="s">
        <v>264</v>
      </c>
      <c r="B23" s="95" t="s">
        <v>22</v>
      </c>
      <c r="C23" s="415"/>
      <c r="D23" s="40"/>
      <c r="E23" s="217"/>
      <c r="G23" s="6">
        <f t="shared" si="0"/>
        <v>0</v>
      </c>
      <c r="H23" s="6">
        <f t="shared" si="1"/>
        <v>0</v>
      </c>
      <c r="J23" s="415"/>
      <c r="K23" s="40"/>
      <c r="M23" s="415"/>
      <c r="N23" s="40"/>
      <c r="P23" s="415"/>
      <c r="Q23" s="40"/>
      <c r="S23" s="415"/>
      <c r="T23" s="40"/>
    </row>
    <row r="24" spans="1:20" s="218" customFormat="1" ht="16.5" customHeight="1" x14ac:dyDescent="0.3">
      <c r="A24" s="95" t="s">
        <v>265</v>
      </c>
      <c r="B24" s="95" t="s">
        <v>15</v>
      </c>
      <c r="C24" s="416">
        <v>49375.79</v>
      </c>
      <c r="D24" s="419">
        <v>49244.95</v>
      </c>
      <c r="E24" s="217"/>
      <c r="G24" s="6">
        <f t="shared" si="0"/>
        <v>49375.79</v>
      </c>
      <c r="H24" s="6">
        <f t="shared" si="1"/>
        <v>49244.95</v>
      </c>
      <c r="J24" s="416">
        <f>18410.02+1980</f>
        <v>20390.02</v>
      </c>
      <c r="K24" s="419">
        <v>20520.72</v>
      </c>
      <c r="M24" s="416">
        <v>10986.19</v>
      </c>
      <c r="N24" s="419">
        <v>11220.25</v>
      </c>
      <c r="P24" s="416">
        <v>17236.14</v>
      </c>
      <c r="Q24" s="419">
        <v>17236.14</v>
      </c>
      <c r="S24" s="416">
        <v>763.44</v>
      </c>
      <c r="T24" s="419">
        <v>267.83999999999997</v>
      </c>
    </row>
    <row r="25" spans="1:20" s="218" customFormat="1" ht="16.5" customHeight="1" x14ac:dyDescent="0.3">
      <c r="A25" s="95" t="s">
        <v>266</v>
      </c>
      <c r="B25" s="95" t="s">
        <v>16</v>
      </c>
      <c r="C25" s="216"/>
      <c r="D25" s="40"/>
      <c r="E25" s="217"/>
      <c r="G25" s="6">
        <f t="shared" si="0"/>
        <v>0</v>
      </c>
      <c r="H25" s="6">
        <f t="shared" si="1"/>
        <v>0</v>
      </c>
      <c r="J25" s="216"/>
      <c r="K25" s="40"/>
      <c r="M25" s="216"/>
      <c r="N25" s="40"/>
      <c r="P25" s="216"/>
      <c r="Q25" s="40"/>
      <c r="S25" s="216"/>
      <c r="T25" s="40"/>
    </row>
    <row r="26" spans="1:20" s="218" customFormat="1" ht="16.5" customHeight="1" x14ac:dyDescent="0.3">
      <c r="A26" s="95" t="s">
        <v>267</v>
      </c>
      <c r="B26" s="95" t="s">
        <v>17</v>
      </c>
      <c r="C26" s="81">
        <f>SUM(C27:C30)</f>
        <v>38089.86</v>
      </c>
      <c r="D26" s="81">
        <f>SUM(D27:D30)</f>
        <v>38089.699999999997</v>
      </c>
      <c r="E26" s="217"/>
      <c r="G26" s="6">
        <f t="shared" si="0"/>
        <v>38089.86</v>
      </c>
      <c r="H26" s="6">
        <f t="shared" si="1"/>
        <v>38089.699999999997</v>
      </c>
      <c r="J26" s="81">
        <f>SUM(J27:J30)</f>
        <v>19622</v>
      </c>
      <c r="K26" s="81">
        <f>SUM(K27:K30)</f>
        <v>19621.84</v>
      </c>
      <c r="M26" s="81">
        <f>SUM(M27:M30)</f>
        <v>1921.54</v>
      </c>
      <c r="N26" s="81">
        <f>SUM(N27:N30)</f>
        <v>1921.54</v>
      </c>
      <c r="P26" s="81">
        <f>SUM(P27:P30)</f>
        <v>16466.32</v>
      </c>
      <c r="Q26" s="81">
        <f>SUM(Q27:Q30)</f>
        <v>16466.32</v>
      </c>
      <c r="S26" s="81">
        <f>SUM(S27:S30)</f>
        <v>80</v>
      </c>
      <c r="T26" s="81">
        <f>SUM(T27:T30)</f>
        <v>80</v>
      </c>
    </row>
    <row r="27" spans="1:20" s="218" customFormat="1" ht="16.5" customHeight="1" x14ac:dyDescent="0.3">
      <c r="A27" s="219" t="s">
        <v>268</v>
      </c>
      <c r="B27" s="219" t="s">
        <v>18</v>
      </c>
      <c r="C27" s="416">
        <v>34366.18</v>
      </c>
      <c r="D27" s="419">
        <v>34401.370000000003</v>
      </c>
      <c r="E27" s="217"/>
      <c r="F27" s="470">
        <f>C27-D27</f>
        <v>-35.190000000002328</v>
      </c>
      <c r="G27" s="6">
        <f t="shared" si="0"/>
        <v>34366.18</v>
      </c>
      <c r="H27" s="6">
        <f t="shared" si="1"/>
        <v>34401.370000000003</v>
      </c>
      <c r="J27" s="415">
        <v>17883</v>
      </c>
      <c r="K27" s="419">
        <v>17883.060000000001</v>
      </c>
      <c r="M27" s="416">
        <v>1563.33</v>
      </c>
      <c r="N27" s="419">
        <v>1598.46</v>
      </c>
      <c r="P27" s="416">
        <v>14864.85</v>
      </c>
      <c r="Q27" s="419">
        <v>14864.85</v>
      </c>
      <c r="S27" s="416">
        <v>55</v>
      </c>
      <c r="T27" s="419">
        <v>55</v>
      </c>
    </row>
    <row r="28" spans="1:20" s="218" customFormat="1" ht="16.5" customHeight="1" x14ac:dyDescent="0.3">
      <c r="A28" s="219" t="s">
        <v>269</v>
      </c>
      <c r="B28" s="219" t="s">
        <v>19</v>
      </c>
      <c r="C28" s="416">
        <v>3277.15</v>
      </c>
      <c r="D28" s="419">
        <v>3241.71</v>
      </c>
      <c r="E28" s="217"/>
      <c r="F28" s="470">
        <f>C28-D28</f>
        <v>35.440000000000055</v>
      </c>
      <c r="G28" s="6">
        <f t="shared" si="0"/>
        <v>3277.15</v>
      </c>
      <c r="H28" s="6">
        <f t="shared" si="1"/>
        <v>3241.71</v>
      </c>
      <c r="J28" s="415">
        <v>1538</v>
      </c>
      <c r="K28" s="419">
        <v>1537.69</v>
      </c>
      <c r="M28" s="416">
        <v>320.95999999999998</v>
      </c>
      <c r="N28" s="419">
        <v>285.83</v>
      </c>
      <c r="P28" s="416">
        <v>1393.19</v>
      </c>
      <c r="Q28" s="419">
        <v>1393.19</v>
      </c>
      <c r="S28" s="416">
        <v>25</v>
      </c>
      <c r="T28" s="419">
        <v>25</v>
      </c>
    </row>
    <row r="29" spans="1:20" s="218" customFormat="1" ht="16.5" customHeight="1" x14ac:dyDescent="0.3">
      <c r="A29" s="219" t="s">
        <v>270</v>
      </c>
      <c r="B29" s="219" t="s">
        <v>20</v>
      </c>
      <c r="C29" s="416">
        <v>351.18</v>
      </c>
      <c r="D29" s="419">
        <v>351.42</v>
      </c>
      <c r="E29" s="217"/>
      <c r="G29" s="6">
        <f t="shared" si="0"/>
        <v>351.18</v>
      </c>
      <c r="H29" s="6">
        <f t="shared" si="1"/>
        <v>351.42</v>
      </c>
      <c r="J29" s="415">
        <v>145</v>
      </c>
      <c r="K29" s="419">
        <v>145.24</v>
      </c>
      <c r="M29" s="416">
        <v>5.4</v>
      </c>
      <c r="N29" s="419">
        <v>5.4</v>
      </c>
      <c r="P29" s="416">
        <v>200.78</v>
      </c>
      <c r="Q29" s="419">
        <v>200.78</v>
      </c>
      <c r="S29" s="416"/>
      <c r="T29" s="419"/>
    </row>
    <row r="30" spans="1:20" s="218" customFormat="1" ht="16.5" customHeight="1" x14ac:dyDescent="0.3">
      <c r="A30" s="219" t="s">
        <v>271</v>
      </c>
      <c r="B30" s="219" t="s">
        <v>23</v>
      </c>
      <c r="C30" s="416">
        <v>95.35</v>
      </c>
      <c r="D30" s="416">
        <v>95.2</v>
      </c>
      <c r="E30" s="217"/>
      <c r="G30" s="6">
        <f t="shared" si="0"/>
        <v>95.35</v>
      </c>
      <c r="H30" s="6">
        <f t="shared" si="1"/>
        <v>95.2</v>
      </c>
      <c r="J30" s="415">
        <v>56</v>
      </c>
      <c r="K30" s="416">
        <v>55.85</v>
      </c>
      <c r="M30" s="416">
        <v>31.85</v>
      </c>
      <c r="N30" s="416">
        <v>31.85</v>
      </c>
      <c r="P30" s="416">
        <v>7.5</v>
      </c>
      <c r="Q30" s="416">
        <v>7.5</v>
      </c>
      <c r="S30" s="416"/>
      <c r="T30" s="416"/>
    </row>
    <row r="31" spans="1:20" s="218" customFormat="1" ht="16.5" customHeight="1" x14ac:dyDescent="0.3">
      <c r="A31" s="95" t="s">
        <v>272</v>
      </c>
      <c r="B31" s="95" t="s">
        <v>21</v>
      </c>
      <c r="C31" s="416"/>
      <c r="D31" s="41"/>
      <c r="E31" s="217"/>
      <c r="G31" s="6">
        <f t="shared" si="0"/>
        <v>0</v>
      </c>
      <c r="H31" s="6">
        <f t="shared" si="1"/>
        <v>0</v>
      </c>
      <c r="J31" s="415"/>
      <c r="K31" s="41"/>
      <c r="M31" s="416"/>
      <c r="N31" s="41"/>
      <c r="P31" s="416"/>
      <c r="Q31" s="41"/>
      <c r="S31" s="416"/>
      <c r="T31" s="41"/>
    </row>
    <row r="32" spans="1:20" s="3" customFormat="1" ht="16.5" customHeight="1" x14ac:dyDescent="0.3">
      <c r="A32" s="86" t="s">
        <v>34</v>
      </c>
      <c r="B32" s="86" t="s">
        <v>3</v>
      </c>
      <c r="C32" s="416">
        <v>9504.7199999999993</v>
      </c>
      <c r="D32" s="213">
        <v>7277.34</v>
      </c>
      <c r="E32" s="214"/>
      <c r="G32" s="6">
        <f t="shared" si="0"/>
        <v>9504.7199999999993</v>
      </c>
      <c r="H32" s="6">
        <f t="shared" si="1"/>
        <v>7277.3399999999992</v>
      </c>
      <c r="J32" s="4">
        <v>2384.5</v>
      </c>
      <c r="K32" s="213">
        <f>3060.61-676.11</f>
        <v>2384.5</v>
      </c>
      <c r="M32" s="416">
        <v>2306.64</v>
      </c>
      <c r="N32" s="213">
        <v>2306.64</v>
      </c>
      <c r="P32" s="416">
        <v>2156.1999999999998</v>
      </c>
      <c r="Q32" s="213">
        <v>1050</v>
      </c>
      <c r="S32" s="416">
        <v>2657.38</v>
      </c>
      <c r="T32" s="213">
        <v>1536.2</v>
      </c>
    </row>
    <row r="33" spans="1:20" s="3" customFormat="1" ht="16.5" customHeight="1" x14ac:dyDescent="0.3">
      <c r="A33" s="86" t="s">
        <v>35</v>
      </c>
      <c r="B33" s="86" t="s">
        <v>4</v>
      </c>
      <c r="C33" s="416"/>
      <c r="D33" s="213"/>
      <c r="E33" s="93"/>
      <c r="G33" s="6">
        <f t="shared" si="0"/>
        <v>0</v>
      </c>
      <c r="H33" s="6">
        <f t="shared" si="1"/>
        <v>0</v>
      </c>
      <c r="J33" s="4"/>
      <c r="K33" s="213"/>
      <c r="M33" s="416"/>
      <c r="N33" s="213"/>
      <c r="P33" s="416"/>
      <c r="Q33" s="213"/>
      <c r="S33" s="416"/>
      <c r="T33" s="213"/>
    </row>
    <row r="34" spans="1:20" s="3" customFormat="1" ht="16.5" customHeight="1" x14ac:dyDescent="0.3">
      <c r="A34" s="86" t="s">
        <v>36</v>
      </c>
      <c r="B34" s="86" t="s">
        <v>5</v>
      </c>
      <c r="C34" s="4"/>
      <c r="D34" s="213"/>
      <c r="E34" s="93"/>
      <c r="G34" s="6">
        <f t="shared" si="0"/>
        <v>0</v>
      </c>
      <c r="H34" s="6">
        <f t="shared" si="1"/>
        <v>0</v>
      </c>
      <c r="J34" s="4"/>
      <c r="K34" s="213"/>
      <c r="M34" s="4"/>
      <c r="N34" s="213"/>
      <c r="P34" s="4"/>
      <c r="Q34" s="213"/>
      <c r="S34" s="4"/>
      <c r="T34" s="213"/>
    </row>
    <row r="35" spans="1:20" s="3" customFormat="1" x14ac:dyDescent="0.3">
      <c r="A35" s="86" t="s">
        <v>37</v>
      </c>
      <c r="B35" s="86" t="s">
        <v>63</v>
      </c>
      <c r="C35" s="81">
        <f>SUM(C36:C37)</f>
        <v>17643.830000000002</v>
      </c>
      <c r="D35" s="81">
        <f>SUM(D36:D37)</f>
        <v>23497</v>
      </c>
      <c r="E35" s="93"/>
      <c r="G35" s="6">
        <f t="shared" si="0"/>
        <v>17643.830000000002</v>
      </c>
      <c r="H35" s="6">
        <f t="shared" si="1"/>
        <v>23497</v>
      </c>
      <c r="J35" s="81">
        <f>SUM(J36:J37)</f>
        <v>7308.92</v>
      </c>
      <c r="K35" s="81">
        <f>SUM(K36:K37)</f>
        <v>19663.5</v>
      </c>
      <c r="M35" s="81">
        <f>SUM(M36:M37)</f>
        <v>5156.3899999999994</v>
      </c>
      <c r="N35" s="81">
        <f>SUM(N36:N37)</f>
        <v>2413</v>
      </c>
      <c r="P35" s="81">
        <f>SUM(P36:P37)</f>
        <v>4206.0200000000004</v>
      </c>
      <c r="Q35" s="81">
        <f>SUM(Q36:Q37)</f>
        <v>1298</v>
      </c>
      <c r="S35" s="81">
        <f>SUM(S36:S37)</f>
        <v>972.5</v>
      </c>
      <c r="T35" s="81">
        <f>SUM(T36:T37)</f>
        <v>122.5</v>
      </c>
    </row>
    <row r="36" spans="1:20" s="3" customFormat="1" ht="16.5" customHeight="1" x14ac:dyDescent="0.3">
      <c r="A36" s="95" t="s">
        <v>273</v>
      </c>
      <c r="B36" s="95" t="s">
        <v>56</v>
      </c>
      <c r="C36" s="4">
        <v>12096.33</v>
      </c>
      <c r="D36" s="213">
        <v>18800</v>
      </c>
      <c r="E36" s="93"/>
      <c r="G36" s="6">
        <f t="shared" si="0"/>
        <v>12096.33</v>
      </c>
      <c r="H36" s="6">
        <f t="shared" si="1"/>
        <v>18800</v>
      </c>
      <c r="J36" s="4">
        <v>6444.92</v>
      </c>
      <c r="K36" s="213">
        <v>18800</v>
      </c>
      <c r="M36" s="4">
        <v>2743.39</v>
      </c>
      <c r="N36" s="213"/>
      <c r="P36" s="4">
        <v>2908.02</v>
      </c>
      <c r="Q36" s="213"/>
      <c r="S36" s="4"/>
      <c r="T36" s="213"/>
    </row>
    <row r="37" spans="1:20" s="3" customFormat="1" ht="16.5" customHeight="1" x14ac:dyDescent="0.3">
      <c r="A37" s="95" t="s">
        <v>274</v>
      </c>
      <c r="B37" s="95" t="s">
        <v>55</v>
      </c>
      <c r="C37" s="4">
        <v>5547.5</v>
      </c>
      <c r="D37" s="213">
        <v>4697</v>
      </c>
      <c r="E37" s="93"/>
      <c r="F37" s="215">
        <f>C37-D37</f>
        <v>850.5</v>
      </c>
      <c r="G37" s="6">
        <f t="shared" si="0"/>
        <v>5547.5</v>
      </c>
      <c r="H37" s="6">
        <f t="shared" si="1"/>
        <v>4697</v>
      </c>
      <c r="J37" s="4">
        <v>864</v>
      </c>
      <c r="K37" s="213">
        <v>863.5</v>
      </c>
      <c r="M37" s="4">
        <v>2413</v>
      </c>
      <c r="N37" s="213">
        <v>2413</v>
      </c>
      <c r="P37" s="4">
        <v>1298</v>
      </c>
      <c r="Q37" s="213">
        <v>1298</v>
      </c>
      <c r="S37" s="4">
        <v>972.5</v>
      </c>
      <c r="T37" s="213">
        <v>122.5</v>
      </c>
    </row>
    <row r="38" spans="1:20" s="3" customFormat="1" ht="16.5" customHeight="1" x14ac:dyDescent="0.3">
      <c r="A38" s="86" t="s">
        <v>38</v>
      </c>
      <c r="B38" s="86" t="s">
        <v>49</v>
      </c>
      <c r="C38" s="4">
        <v>487</v>
      </c>
      <c r="D38" s="213">
        <v>487.02</v>
      </c>
      <c r="E38" s="93"/>
      <c r="G38" s="6">
        <f t="shared" si="0"/>
        <v>486.81</v>
      </c>
      <c r="H38" s="6">
        <f t="shared" si="1"/>
        <v>487.02000000000004</v>
      </c>
      <c r="J38" s="4">
        <f>173-7.82</f>
        <v>165.18</v>
      </c>
      <c r="K38" s="213">
        <f>157.64+7.75</f>
        <v>165.39</v>
      </c>
      <c r="M38" s="4">
        <f>161.58-1</f>
        <v>160.58000000000001</v>
      </c>
      <c r="N38" s="213">
        <f>161.58-1</f>
        <v>160.58000000000001</v>
      </c>
      <c r="P38" s="4">
        <v>93.32</v>
      </c>
      <c r="Q38" s="213">
        <v>93.32</v>
      </c>
      <c r="S38" s="4">
        <v>67.73</v>
      </c>
      <c r="T38" s="213">
        <v>67.73</v>
      </c>
    </row>
    <row r="39" spans="1:20" s="3" customFormat="1" ht="16.5" customHeight="1" x14ac:dyDescent="0.3">
      <c r="A39" s="86" t="s">
        <v>39</v>
      </c>
      <c r="B39" s="86" t="s">
        <v>363</v>
      </c>
      <c r="C39" s="81">
        <f>SUM(C40:C45)</f>
        <v>0</v>
      </c>
      <c r="D39" s="81">
        <f>SUM(D40:D45)</f>
        <v>0</v>
      </c>
      <c r="E39" s="93"/>
      <c r="G39" s="6">
        <f t="shared" si="0"/>
        <v>0</v>
      </c>
      <c r="H39" s="6">
        <f t="shared" si="1"/>
        <v>0</v>
      </c>
      <c r="J39" s="81">
        <f>SUM(J40:J45)</f>
        <v>0</v>
      </c>
      <c r="K39" s="81">
        <f>SUM(K40:K45)</f>
        <v>0</v>
      </c>
      <c r="M39" s="81">
        <f>SUM(M40:M45)</f>
        <v>0</v>
      </c>
      <c r="N39" s="81">
        <f>SUM(N40:N45)</f>
        <v>0</v>
      </c>
      <c r="P39" s="81">
        <f>SUM(P40:P45)</f>
        <v>0</v>
      </c>
      <c r="Q39" s="81">
        <f>SUM(Q40:Q45)</f>
        <v>0</v>
      </c>
      <c r="S39" s="81">
        <f>SUM(S40:S45)</f>
        <v>0</v>
      </c>
      <c r="T39" s="81">
        <f>SUM(T40:T45)</f>
        <v>0</v>
      </c>
    </row>
    <row r="40" spans="1:20" s="3" customFormat="1" ht="16.5" customHeight="1" x14ac:dyDescent="0.3">
      <c r="A40" s="17" t="s">
        <v>323</v>
      </c>
      <c r="B40" s="17" t="s">
        <v>327</v>
      </c>
      <c r="C40" s="4"/>
      <c r="D40" s="213"/>
      <c r="E40" s="93"/>
      <c r="G40" s="6">
        <f t="shared" si="0"/>
        <v>0</v>
      </c>
      <c r="H40" s="6">
        <f t="shared" si="1"/>
        <v>0</v>
      </c>
      <c r="J40" s="4"/>
      <c r="K40" s="213"/>
      <c r="M40" s="4"/>
      <c r="N40" s="213"/>
      <c r="P40" s="4"/>
      <c r="Q40" s="213"/>
      <c r="S40" s="4"/>
      <c r="T40" s="213"/>
    </row>
    <row r="41" spans="1:20" s="3" customFormat="1" ht="16.5" customHeight="1" x14ac:dyDescent="0.3">
      <c r="A41" s="17" t="s">
        <v>324</v>
      </c>
      <c r="B41" s="17" t="s">
        <v>328</v>
      </c>
      <c r="C41" s="4"/>
      <c r="D41" s="213"/>
      <c r="E41" s="93"/>
      <c r="G41" s="6">
        <f t="shared" si="0"/>
        <v>0</v>
      </c>
      <c r="H41" s="6">
        <f t="shared" si="1"/>
        <v>0</v>
      </c>
      <c r="J41" s="4"/>
      <c r="K41" s="213"/>
      <c r="M41" s="4"/>
      <c r="N41" s="213"/>
      <c r="P41" s="4"/>
      <c r="Q41" s="213"/>
      <c r="S41" s="4"/>
      <c r="T41" s="213"/>
    </row>
    <row r="42" spans="1:20" s="3" customFormat="1" ht="16.5" customHeight="1" x14ac:dyDescent="0.3">
      <c r="A42" s="17" t="s">
        <v>325</v>
      </c>
      <c r="B42" s="17" t="s">
        <v>331</v>
      </c>
      <c r="C42" s="4"/>
      <c r="D42" s="213"/>
      <c r="E42" s="93"/>
      <c r="G42" s="6">
        <f t="shared" si="0"/>
        <v>0</v>
      </c>
      <c r="H42" s="6">
        <f t="shared" si="1"/>
        <v>0</v>
      </c>
      <c r="J42" s="4"/>
      <c r="K42" s="213"/>
      <c r="M42" s="4"/>
      <c r="N42" s="213"/>
      <c r="P42" s="4"/>
      <c r="Q42" s="213"/>
      <c r="S42" s="4"/>
      <c r="T42" s="213"/>
    </row>
    <row r="43" spans="1:20" s="3" customFormat="1" ht="16.5" customHeight="1" x14ac:dyDescent="0.3">
      <c r="A43" s="17" t="s">
        <v>330</v>
      </c>
      <c r="B43" s="17" t="s">
        <v>332</v>
      </c>
      <c r="C43" s="4"/>
      <c r="D43" s="213"/>
      <c r="E43" s="93"/>
      <c r="G43" s="6">
        <f t="shared" si="0"/>
        <v>0</v>
      </c>
      <c r="H43" s="6">
        <f t="shared" si="1"/>
        <v>0</v>
      </c>
      <c r="J43" s="4"/>
      <c r="K43" s="213"/>
      <c r="M43" s="4"/>
      <c r="N43" s="213"/>
      <c r="P43" s="4"/>
      <c r="Q43" s="213"/>
      <c r="S43" s="4"/>
      <c r="T43" s="213"/>
    </row>
    <row r="44" spans="1:20" s="3" customFormat="1" ht="16.5" customHeight="1" x14ac:dyDescent="0.3">
      <c r="A44" s="17" t="s">
        <v>333</v>
      </c>
      <c r="B44" s="17" t="s">
        <v>429</v>
      </c>
      <c r="C44" s="4"/>
      <c r="D44" s="213"/>
      <c r="E44" s="93"/>
      <c r="G44" s="6">
        <f t="shared" si="0"/>
        <v>0</v>
      </c>
      <c r="H44" s="6">
        <f t="shared" si="1"/>
        <v>0</v>
      </c>
      <c r="J44" s="4"/>
      <c r="K44" s="213"/>
      <c r="M44" s="4"/>
      <c r="N44" s="213"/>
      <c r="P44" s="4"/>
      <c r="Q44" s="213"/>
      <c r="S44" s="4"/>
      <c r="T44" s="213"/>
    </row>
    <row r="45" spans="1:20" s="3" customFormat="1" ht="16.5" customHeight="1" x14ac:dyDescent="0.3">
      <c r="A45" s="17" t="s">
        <v>430</v>
      </c>
      <c r="B45" s="17" t="s">
        <v>329</v>
      </c>
      <c r="C45" s="4"/>
      <c r="D45" s="213"/>
      <c r="E45" s="93"/>
      <c r="G45" s="6">
        <f t="shared" si="0"/>
        <v>0</v>
      </c>
      <c r="H45" s="6">
        <f t="shared" si="1"/>
        <v>0</v>
      </c>
      <c r="J45" s="4"/>
      <c r="K45" s="213"/>
      <c r="M45" s="4"/>
      <c r="N45" s="213"/>
      <c r="P45" s="4"/>
      <c r="Q45" s="213"/>
      <c r="S45" s="4"/>
      <c r="T45" s="213"/>
    </row>
    <row r="46" spans="1:20" s="3" customFormat="1" ht="30" x14ac:dyDescent="0.3">
      <c r="A46" s="86" t="s">
        <v>40</v>
      </c>
      <c r="B46" s="86" t="s">
        <v>868</v>
      </c>
      <c r="C46" s="4">
        <v>132967</v>
      </c>
      <c r="D46" s="213">
        <v>127131.1</v>
      </c>
      <c r="E46" s="93"/>
      <c r="F46" s="215">
        <f>C46-D46</f>
        <v>5835.8999999999942</v>
      </c>
      <c r="G46" s="6">
        <f t="shared" si="0"/>
        <v>132966.96000000002</v>
      </c>
      <c r="H46" s="6">
        <f t="shared" si="1"/>
        <v>127131.11</v>
      </c>
      <c r="J46" s="4">
        <v>29801.11</v>
      </c>
      <c r="K46" s="213">
        <f>25098.25+4026.75+676.11</f>
        <v>29801.11</v>
      </c>
      <c r="M46" s="4">
        <v>29388</v>
      </c>
      <c r="N46" s="213">
        <v>29388</v>
      </c>
      <c r="P46" s="4">
        <f>70187.85+3090</f>
        <v>73277.850000000006</v>
      </c>
      <c r="Q46" s="213"/>
      <c r="S46" s="4">
        <v>500</v>
      </c>
      <c r="T46" s="213">
        <v>67942</v>
      </c>
    </row>
    <row r="47" spans="1:20" s="3" customFormat="1" ht="16.5" customHeight="1" x14ac:dyDescent="0.3">
      <c r="A47" s="86" t="s">
        <v>41</v>
      </c>
      <c r="B47" s="86" t="s">
        <v>24</v>
      </c>
      <c r="C47" s="4">
        <v>2027.24</v>
      </c>
      <c r="D47" s="213">
        <v>2617.2399999999998</v>
      </c>
      <c r="E47" s="93"/>
      <c r="F47" s="215">
        <f>C47-D47</f>
        <v>-589.99999999999977</v>
      </c>
      <c r="G47" s="6">
        <f t="shared" si="0"/>
        <v>2027.24</v>
      </c>
      <c r="H47" s="6">
        <f t="shared" si="1"/>
        <v>2617.2399999999998</v>
      </c>
      <c r="J47" s="4"/>
      <c r="K47" s="213"/>
      <c r="M47" s="4"/>
      <c r="N47" s="213"/>
      <c r="P47" s="4">
        <v>2027.24</v>
      </c>
      <c r="Q47" s="213"/>
      <c r="S47" s="4"/>
      <c r="T47" s="213">
        <v>2617.2399999999998</v>
      </c>
    </row>
    <row r="48" spans="1:20" s="3" customFormat="1" ht="16.5" customHeight="1" x14ac:dyDescent="0.3">
      <c r="A48" s="86" t="s">
        <v>42</v>
      </c>
      <c r="B48" s="86" t="s">
        <v>25</v>
      </c>
      <c r="C48" s="4"/>
      <c r="D48" s="213"/>
      <c r="E48" s="93"/>
      <c r="G48" s="6">
        <f t="shared" si="0"/>
        <v>0</v>
      </c>
      <c r="H48" s="6">
        <f t="shared" si="1"/>
        <v>0</v>
      </c>
      <c r="J48" s="4"/>
      <c r="K48" s="213"/>
      <c r="M48" s="4"/>
      <c r="N48" s="213"/>
      <c r="P48" s="4"/>
      <c r="Q48" s="213"/>
      <c r="S48" s="4"/>
      <c r="T48" s="213"/>
    </row>
    <row r="49" spans="1:20" s="3" customFormat="1" ht="16.5" customHeight="1" x14ac:dyDescent="0.3">
      <c r="A49" s="86" t="s">
        <v>43</v>
      </c>
      <c r="B49" s="86" t="s">
        <v>26</v>
      </c>
      <c r="C49" s="4">
        <v>636</v>
      </c>
      <c r="D49" s="213">
        <v>636</v>
      </c>
      <c r="E49" s="93"/>
      <c r="G49" s="6">
        <f t="shared" si="0"/>
        <v>636</v>
      </c>
      <c r="H49" s="6">
        <f t="shared" si="1"/>
        <v>636</v>
      </c>
      <c r="J49" s="4">
        <v>318</v>
      </c>
      <c r="K49" s="213">
        <v>318</v>
      </c>
      <c r="M49" s="4"/>
      <c r="N49" s="213"/>
      <c r="P49" s="4">
        <v>318</v>
      </c>
      <c r="Q49" s="213">
        <v>318</v>
      </c>
      <c r="S49" s="4"/>
      <c r="T49" s="213"/>
    </row>
    <row r="50" spans="1:20" s="3" customFormat="1" ht="16.5" customHeight="1" x14ac:dyDescent="0.3">
      <c r="A50" s="86" t="s">
        <v>44</v>
      </c>
      <c r="B50" s="86" t="s">
        <v>364</v>
      </c>
      <c r="C50" s="81">
        <f>SUM(C51:C53)</f>
        <v>223255.1</v>
      </c>
      <c r="D50" s="81">
        <f>SUM(D51:D53)</f>
        <v>139776.9</v>
      </c>
      <c r="E50" s="93"/>
      <c r="G50" s="6">
        <f t="shared" si="0"/>
        <v>223255.08</v>
      </c>
      <c r="H50" s="6">
        <f t="shared" si="1"/>
        <v>139776.9</v>
      </c>
      <c r="J50" s="81">
        <f>SUM(J51:J53)</f>
        <v>108926.14</v>
      </c>
      <c r="K50" s="81">
        <f>SUM(K51:K53)</f>
        <v>36393.69</v>
      </c>
      <c r="M50" s="81">
        <f>SUM(M51:M53)</f>
        <v>75613.53</v>
      </c>
      <c r="N50" s="81">
        <f>SUM(N51:N53)</f>
        <v>63646.12</v>
      </c>
      <c r="P50" s="81">
        <f>SUM(P51:P53)</f>
        <v>3823.2</v>
      </c>
      <c r="Q50" s="81">
        <f>SUM(Q51:Q53)</f>
        <v>7708.98</v>
      </c>
      <c r="S50" s="81">
        <f>SUM(S51:S53)</f>
        <v>34892.21</v>
      </c>
      <c r="T50" s="81">
        <f>SUM(T51:T53)</f>
        <v>32028.11</v>
      </c>
    </row>
    <row r="51" spans="1:20" s="3" customFormat="1" ht="16.5" customHeight="1" x14ac:dyDescent="0.3">
      <c r="A51" s="95" t="s">
        <v>338</v>
      </c>
      <c r="B51" s="95" t="s">
        <v>341</v>
      </c>
      <c r="C51" s="4">
        <v>217355.1</v>
      </c>
      <c r="D51" s="213">
        <v>133876.9</v>
      </c>
      <c r="E51" s="93"/>
      <c r="G51" s="6">
        <f t="shared" si="0"/>
        <v>217355.08</v>
      </c>
      <c r="H51" s="6">
        <f t="shared" si="1"/>
        <v>133876.9</v>
      </c>
      <c r="J51" s="4">
        <v>103026.14</v>
      </c>
      <c r="K51" s="213">
        <v>30493.69</v>
      </c>
      <c r="M51" s="4">
        <v>75613.53</v>
      </c>
      <c r="N51" s="213">
        <f>63764.87-62.5-56.25</f>
        <v>63646.12</v>
      </c>
      <c r="P51" s="4">
        <v>3823.2</v>
      </c>
      <c r="Q51" s="213">
        <v>7708.98</v>
      </c>
      <c r="S51" s="4">
        <v>34892.21</v>
      </c>
      <c r="T51" s="213">
        <v>32028.11</v>
      </c>
    </row>
    <row r="52" spans="1:20" s="3" customFormat="1" ht="16.5" customHeight="1" x14ac:dyDescent="0.3">
      <c r="A52" s="95" t="s">
        <v>339</v>
      </c>
      <c r="B52" s="95" t="s">
        <v>340</v>
      </c>
      <c r="C52" s="4">
        <v>5900</v>
      </c>
      <c r="D52" s="213">
        <v>5900</v>
      </c>
      <c r="E52" s="93"/>
      <c r="G52" s="6">
        <f t="shared" si="0"/>
        <v>5900</v>
      </c>
      <c r="H52" s="6">
        <f t="shared" si="1"/>
        <v>5900</v>
      </c>
      <c r="J52" s="4">
        <v>5900</v>
      </c>
      <c r="K52" s="213">
        <v>5900</v>
      </c>
      <c r="M52" s="4"/>
      <c r="N52" s="213"/>
      <c r="P52" s="4"/>
      <c r="Q52" s="213"/>
      <c r="S52" s="4"/>
      <c r="T52" s="213"/>
    </row>
    <row r="53" spans="1:20" s="3" customFormat="1" ht="16.5" customHeight="1" x14ac:dyDescent="0.3">
      <c r="A53" s="95" t="s">
        <v>342</v>
      </c>
      <c r="B53" s="95" t="s">
        <v>343</v>
      </c>
      <c r="C53" s="4"/>
      <c r="D53" s="213"/>
      <c r="E53" s="93"/>
      <c r="G53" s="6">
        <f t="shared" si="0"/>
        <v>0</v>
      </c>
      <c r="H53" s="6">
        <f t="shared" si="1"/>
        <v>0</v>
      </c>
      <c r="J53" s="4"/>
      <c r="K53" s="213"/>
      <c r="M53" s="4"/>
      <c r="N53" s="213"/>
      <c r="P53" s="4"/>
      <c r="Q53" s="213"/>
      <c r="S53" s="4"/>
      <c r="T53" s="213"/>
    </row>
    <row r="54" spans="1:20" s="3" customFormat="1" x14ac:dyDescent="0.3">
      <c r="A54" s="86" t="s">
        <v>45</v>
      </c>
      <c r="B54" s="86" t="s">
        <v>29</v>
      </c>
      <c r="C54" s="4"/>
      <c r="D54" s="213"/>
      <c r="E54" s="93"/>
      <c r="G54" s="6">
        <f t="shared" si="0"/>
        <v>0</v>
      </c>
      <c r="H54" s="6">
        <f t="shared" si="1"/>
        <v>0</v>
      </c>
      <c r="J54" s="4"/>
      <c r="K54" s="213"/>
      <c r="M54" s="4"/>
      <c r="N54" s="213"/>
      <c r="P54" s="4"/>
      <c r="Q54" s="213"/>
      <c r="S54" s="4"/>
      <c r="T54" s="213"/>
    </row>
    <row r="55" spans="1:20" s="3" customFormat="1" ht="16.5" customHeight="1" x14ac:dyDescent="0.3">
      <c r="A55" s="86" t="s">
        <v>46</v>
      </c>
      <c r="B55" s="86" t="s">
        <v>908</v>
      </c>
      <c r="C55" s="4">
        <v>24323.84</v>
      </c>
      <c r="D55" s="213">
        <v>81233.84</v>
      </c>
      <c r="E55" s="214"/>
      <c r="F55" s="215"/>
      <c r="G55" s="6">
        <f t="shared" si="0"/>
        <v>24323.84</v>
      </c>
      <c r="H55" s="6">
        <f t="shared" si="1"/>
        <v>81233.84</v>
      </c>
      <c r="J55" s="4">
        <v>523.84</v>
      </c>
      <c r="K55" s="213">
        <v>523.84</v>
      </c>
      <c r="M55" s="4"/>
      <c r="N55" s="213"/>
      <c r="P55" s="4">
        <v>23800</v>
      </c>
      <c r="Q55" s="213">
        <v>80710</v>
      </c>
      <c r="S55" s="4"/>
      <c r="T55" s="213"/>
    </row>
    <row r="56" spans="1:20" s="3" customFormat="1" ht="30" x14ac:dyDescent="0.3">
      <c r="A56" s="85">
        <v>1.3</v>
      </c>
      <c r="B56" s="85" t="s">
        <v>368</v>
      </c>
      <c r="C56" s="82">
        <f>SUM(C57:C58)</f>
        <v>0</v>
      </c>
      <c r="D56" s="82">
        <f>SUM(D57:D58)</f>
        <v>585</v>
      </c>
      <c r="E56" s="214"/>
      <c r="F56" s="215"/>
      <c r="G56" s="6">
        <f t="shared" si="0"/>
        <v>0</v>
      </c>
      <c r="H56" s="6">
        <f t="shared" si="1"/>
        <v>585</v>
      </c>
      <c r="J56" s="82">
        <f>SUM(J57:J58)</f>
        <v>0</v>
      </c>
      <c r="K56" s="82">
        <f>SUM(K57:K58)</f>
        <v>0</v>
      </c>
      <c r="M56" s="82">
        <f>SUM(M57:M58)</f>
        <v>0</v>
      </c>
      <c r="N56" s="82">
        <f>SUM(N57:N58)</f>
        <v>585</v>
      </c>
      <c r="P56" s="82">
        <f>SUM(P57:P58)</f>
        <v>0</v>
      </c>
      <c r="Q56" s="82">
        <f>SUM(Q57:Q58)</f>
        <v>0</v>
      </c>
      <c r="S56" s="82">
        <f>SUM(S57:S58)</f>
        <v>0</v>
      </c>
      <c r="T56" s="82">
        <f>SUM(T57:T58)</f>
        <v>0</v>
      </c>
    </row>
    <row r="57" spans="1:20" s="3" customFormat="1" ht="30" x14ac:dyDescent="0.3">
      <c r="A57" s="86" t="s">
        <v>50</v>
      </c>
      <c r="B57" s="86" t="s">
        <v>48</v>
      </c>
      <c r="C57" s="4"/>
      <c r="D57" s="213">
        <v>585</v>
      </c>
      <c r="E57" s="214"/>
      <c r="F57" s="215"/>
      <c r="G57" s="6">
        <f t="shared" si="0"/>
        <v>0</v>
      </c>
      <c r="H57" s="6">
        <f t="shared" si="1"/>
        <v>585</v>
      </c>
      <c r="J57" s="4"/>
      <c r="K57" s="213"/>
      <c r="M57" s="4"/>
      <c r="N57" s="213">
        <v>585</v>
      </c>
      <c r="P57" s="4"/>
      <c r="Q57" s="213"/>
      <c r="S57" s="4"/>
      <c r="T57" s="213"/>
    </row>
    <row r="58" spans="1:20" s="3" customFormat="1" ht="16.5" customHeight="1" x14ac:dyDescent="0.3">
      <c r="A58" s="86" t="s">
        <v>51</v>
      </c>
      <c r="B58" s="86" t="s">
        <v>47</v>
      </c>
      <c r="C58" s="4"/>
      <c r="D58" s="213"/>
      <c r="E58" s="214"/>
      <c r="F58" s="215"/>
      <c r="G58" s="6">
        <f t="shared" si="0"/>
        <v>0</v>
      </c>
      <c r="H58" s="6">
        <f t="shared" si="1"/>
        <v>0</v>
      </c>
      <c r="J58" s="4"/>
      <c r="K58" s="213"/>
      <c r="M58" s="4"/>
      <c r="N58" s="213"/>
      <c r="P58" s="4"/>
      <c r="Q58" s="213"/>
      <c r="S58" s="4"/>
      <c r="T58" s="213"/>
    </row>
    <row r="59" spans="1:20" s="3" customFormat="1" x14ac:dyDescent="0.3">
      <c r="A59" s="85">
        <v>1.4</v>
      </c>
      <c r="B59" s="85" t="s">
        <v>370</v>
      </c>
      <c r="C59" s="4"/>
      <c r="D59" s="213"/>
      <c r="E59" s="214"/>
      <c r="F59" s="215"/>
      <c r="G59" s="6">
        <f t="shared" si="0"/>
        <v>0</v>
      </c>
      <c r="H59" s="6">
        <f t="shared" si="1"/>
        <v>0</v>
      </c>
      <c r="J59" s="4"/>
      <c r="K59" s="213"/>
      <c r="M59" s="4"/>
      <c r="N59" s="213"/>
      <c r="P59" s="4"/>
      <c r="Q59" s="213"/>
      <c r="S59" s="4"/>
      <c r="T59" s="213"/>
    </row>
    <row r="60" spans="1:20" s="218" customFormat="1" x14ac:dyDescent="0.3">
      <c r="A60" s="85">
        <v>1.5</v>
      </c>
      <c r="B60" s="85" t="s">
        <v>7</v>
      </c>
      <c r="C60" s="216"/>
      <c r="D60" s="40"/>
      <c r="E60" s="217"/>
      <c r="G60" s="6">
        <f t="shared" si="0"/>
        <v>0</v>
      </c>
      <c r="H60" s="6">
        <f t="shared" si="1"/>
        <v>0</v>
      </c>
      <c r="J60" s="216"/>
      <c r="K60" s="40"/>
      <c r="M60" s="216"/>
      <c r="N60" s="40"/>
      <c r="P60" s="216"/>
      <c r="Q60" s="40"/>
      <c r="S60" s="216"/>
      <c r="T60" s="40"/>
    </row>
    <row r="61" spans="1:20" s="218" customFormat="1" x14ac:dyDescent="0.3">
      <c r="A61" s="85">
        <v>1.6</v>
      </c>
      <c r="B61" s="45" t="s">
        <v>8</v>
      </c>
      <c r="C61" s="409">
        <f>SUM(C62:C66)</f>
        <v>69.47</v>
      </c>
      <c r="D61" s="84">
        <f>SUM(D62:D66)</f>
        <v>0</v>
      </c>
      <c r="E61" s="217"/>
      <c r="G61" s="6">
        <f t="shared" si="0"/>
        <v>69.47</v>
      </c>
      <c r="H61" s="6">
        <f t="shared" si="1"/>
        <v>0</v>
      </c>
      <c r="J61" s="409">
        <f>SUM(J62:J66)</f>
        <v>63.71</v>
      </c>
      <c r="K61" s="84">
        <f>SUM(K62:K66)</f>
        <v>0</v>
      </c>
      <c r="M61" s="409">
        <f>SUM(M62:M66)</f>
        <v>5.76</v>
      </c>
      <c r="N61" s="84">
        <f>SUM(N62:N66)</f>
        <v>0</v>
      </c>
      <c r="P61" s="409">
        <f>SUM(P62:P66)</f>
        <v>0</v>
      </c>
      <c r="Q61" s="84">
        <f>SUM(Q62:Q66)</f>
        <v>0</v>
      </c>
      <c r="S61" s="409">
        <f>SUM(S62:S66)</f>
        <v>0</v>
      </c>
      <c r="T61" s="84">
        <f>SUM(T62:T66)</f>
        <v>0</v>
      </c>
    </row>
    <row r="62" spans="1:20" s="218" customFormat="1" x14ac:dyDescent="0.3">
      <c r="A62" s="86" t="s">
        <v>280</v>
      </c>
      <c r="B62" s="46" t="s">
        <v>52</v>
      </c>
      <c r="C62" s="216"/>
      <c r="D62" s="40"/>
      <c r="E62" s="217"/>
      <c r="G62" s="6">
        <f t="shared" si="0"/>
        <v>0</v>
      </c>
      <c r="H62" s="6">
        <f t="shared" si="1"/>
        <v>0</v>
      </c>
      <c r="J62" s="216"/>
      <c r="K62" s="40"/>
      <c r="M62" s="216"/>
      <c r="N62" s="40"/>
      <c r="P62" s="216"/>
      <c r="Q62" s="40"/>
      <c r="S62" s="216"/>
      <c r="T62" s="40"/>
    </row>
    <row r="63" spans="1:20" s="218" customFormat="1" ht="30" x14ac:dyDescent="0.3">
      <c r="A63" s="86" t="s">
        <v>281</v>
      </c>
      <c r="B63" s="46" t="s">
        <v>54</v>
      </c>
      <c r="C63" s="216"/>
      <c r="D63" s="40"/>
      <c r="E63" s="217"/>
      <c r="G63" s="6">
        <f t="shared" si="0"/>
        <v>0</v>
      </c>
      <c r="H63" s="6">
        <f t="shared" si="1"/>
        <v>0</v>
      </c>
      <c r="J63" s="216"/>
      <c r="K63" s="40"/>
      <c r="M63" s="216"/>
      <c r="N63" s="40"/>
      <c r="P63" s="216"/>
      <c r="Q63" s="40"/>
      <c r="S63" s="216"/>
      <c r="T63" s="40"/>
    </row>
    <row r="64" spans="1:20" s="218" customFormat="1" x14ac:dyDescent="0.3">
      <c r="A64" s="86" t="s">
        <v>282</v>
      </c>
      <c r="B64" s="46" t="s">
        <v>53</v>
      </c>
      <c r="C64" s="40"/>
      <c r="D64" s="40"/>
      <c r="E64" s="217"/>
      <c r="G64" s="6">
        <f t="shared" si="0"/>
        <v>0</v>
      </c>
      <c r="H64" s="6">
        <f t="shared" si="1"/>
        <v>0</v>
      </c>
      <c r="J64" s="40"/>
      <c r="K64" s="40"/>
      <c r="M64" s="40"/>
      <c r="N64" s="40"/>
      <c r="P64" s="40"/>
      <c r="Q64" s="40"/>
      <c r="S64" s="40"/>
      <c r="T64" s="40"/>
    </row>
    <row r="65" spans="1:20" s="218" customFormat="1" x14ac:dyDescent="0.3">
      <c r="A65" s="86" t="s">
        <v>283</v>
      </c>
      <c r="B65" s="46" t="s">
        <v>27</v>
      </c>
      <c r="C65" s="216"/>
      <c r="D65" s="40"/>
      <c r="E65" s="217"/>
      <c r="G65" s="6">
        <f t="shared" si="0"/>
        <v>0</v>
      </c>
      <c r="H65" s="6">
        <f t="shared" si="1"/>
        <v>0</v>
      </c>
      <c r="J65" s="216"/>
      <c r="K65" s="40"/>
      <c r="M65" s="216"/>
      <c r="N65" s="40"/>
      <c r="P65" s="216"/>
      <c r="Q65" s="40"/>
      <c r="S65" s="216"/>
      <c r="T65" s="40"/>
    </row>
    <row r="66" spans="1:20" s="218" customFormat="1" x14ac:dyDescent="0.3">
      <c r="A66" s="86" t="s">
        <v>309</v>
      </c>
      <c r="B66" s="46" t="s">
        <v>310</v>
      </c>
      <c r="C66" s="416">
        <v>69.47</v>
      </c>
      <c r="D66" s="40"/>
      <c r="E66" s="217"/>
      <c r="G66" s="6">
        <f t="shared" ref="G66:G79" si="2">J:J+M:M+P:P+S:S</f>
        <v>69.47</v>
      </c>
      <c r="H66" s="6">
        <f t="shared" ref="H66:H79" si="3">K:K+N:N+Q:Q+T:T</f>
        <v>0</v>
      </c>
      <c r="J66" s="416">
        <v>63.71</v>
      </c>
      <c r="K66" s="40"/>
      <c r="M66" s="416">
        <v>5.76</v>
      </c>
      <c r="N66" s="40"/>
      <c r="P66" s="416"/>
      <c r="Q66" s="40"/>
      <c r="S66" s="416"/>
      <c r="T66" s="40"/>
    </row>
    <row r="67" spans="1:20" x14ac:dyDescent="0.3">
      <c r="A67" s="211">
        <v>2</v>
      </c>
      <c r="B67" s="211" t="s">
        <v>365</v>
      </c>
      <c r="C67" s="220"/>
      <c r="D67" s="83">
        <f>SUM(D68:D74)</f>
        <v>550</v>
      </c>
      <c r="E67" s="94"/>
      <c r="G67" s="6">
        <f t="shared" si="2"/>
        <v>0</v>
      </c>
      <c r="H67" s="6">
        <f t="shared" si="3"/>
        <v>550</v>
      </c>
      <c r="J67" s="220"/>
      <c r="K67" s="83">
        <f>SUM(K68:K74)</f>
        <v>0</v>
      </c>
      <c r="M67" s="220"/>
      <c r="N67" s="83">
        <f>SUM(N68:N74)</f>
        <v>0</v>
      </c>
      <c r="P67" s="220"/>
      <c r="Q67" s="83">
        <f>SUM(Q68:Q74)</f>
        <v>0</v>
      </c>
      <c r="S67" s="220"/>
      <c r="T67" s="83">
        <f>SUM(T68:T74)</f>
        <v>550</v>
      </c>
    </row>
    <row r="68" spans="1:20" x14ac:dyDescent="0.3">
      <c r="A68" s="96">
        <v>2.1</v>
      </c>
      <c r="B68" s="221" t="s">
        <v>89</v>
      </c>
      <c r="C68" s="222"/>
      <c r="D68" s="22"/>
      <c r="E68" s="94"/>
      <c r="G68" s="6">
        <f t="shared" si="2"/>
        <v>0</v>
      </c>
      <c r="H68" s="6">
        <f t="shared" si="3"/>
        <v>0</v>
      </c>
      <c r="J68" s="222"/>
      <c r="K68" s="22"/>
      <c r="M68" s="222"/>
      <c r="N68" s="22"/>
      <c r="P68" s="222"/>
      <c r="Q68" s="22"/>
      <c r="S68" s="222"/>
      <c r="T68" s="22"/>
    </row>
    <row r="69" spans="1:20" x14ac:dyDescent="0.3">
      <c r="A69" s="96">
        <v>2.2000000000000002</v>
      </c>
      <c r="B69" s="221" t="s">
        <v>366</v>
      </c>
      <c r="C69" s="222"/>
      <c r="D69" s="22"/>
      <c r="E69" s="94"/>
      <c r="G69" s="6">
        <f t="shared" si="2"/>
        <v>0</v>
      </c>
      <c r="H69" s="6">
        <f t="shared" si="3"/>
        <v>0</v>
      </c>
      <c r="J69" s="222"/>
      <c r="K69" s="22"/>
      <c r="M69" s="222"/>
      <c r="N69" s="22"/>
      <c r="P69" s="222"/>
      <c r="Q69" s="22"/>
      <c r="S69" s="222"/>
      <c r="T69" s="22"/>
    </row>
    <row r="70" spans="1:20" x14ac:dyDescent="0.3">
      <c r="A70" s="96">
        <v>2.2999999999999998</v>
      </c>
      <c r="B70" s="221" t="s">
        <v>93</v>
      </c>
      <c r="C70" s="222"/>
      <c r="D70" s="22"/>
      <c r="E70" s="94"/>
      <c r="G70" s="6">
        <f t="shared" si="2"/>
        <v>0</v>
      </c>
      <c r="H70" s="6">
        <f t="shared" si="3"/>
        <v>0</v>
      </c>
      <c r="J70" s="222"/>
      <c r="K70" s="22"/>
      <c r="M70" s="222"/>
      <c r="N70" s="22"/>
      <c r="P70" s="222"/>
      <c r="Q70" s="22"/>
      <c r="S70" s="222"/>
      <c r="T70" s="22"/>
    </row>
    <row r="71" spans="1:20" x14ac:dyDescent="0.3">
      <c r="A71" s="96">
        <v>2.4</v>
      </c>
      <c r="B71" s="221" t="s">
        <v>92</v>
      </c>
      <c r="C71" s="222"/>
      <c r="D71" s="22"/>
      <c r="E71" s="94"/>
      <c r="G71" s="6">
        <f t="shared" si="2"/>
        <v>0</v>
      </c>
      <c r="H71" s="6">
        <f t="shared" si="3"/>
        <v>0</v>
      </c>
      <c r="J71" s="222"/>
      <c r="K71" s="22"/>
      <c r="M71" s="222"/>
      <c r="N71" s="22"/>
      <c r="P71" s="222"/>
      <c r="Q71" s="22"/>
      <c r="S71" s="222"/>
      <c r="T71" s="22"/>
    </row>
    <row r="72" spans="1:20" x14ac:dyDescent="0.3">
      <c r="A72" s="96">
        <v>2.5</v>
      </c>
      <c r="B72" s="221" t="s">
        <v>367</v>
      </c>
      <c r="C72" s="222"/>
      <c r="D72" s="22">
        <v>550</v>
      </c>
      <c r="E72" s="94"/>
      <c r="G72" s="6">
        <f t="shared" si="2"/>
        <v>0</v>
      </c>
      <c r="H72" s="6">
        <f t="shared" si="3"/>
        <v>550</v>
      </c>
      <c r="J72" s="222"/>
      <c r="K72" s="22"/>
      <c r="M72" s="222"/>
      <c r="N72" s="22"/>
      <c r="P72" s="222"/>
      <c r="Q72" s="22"/>
      <c r="S72" s="222"/>
      <c r="T72" s="22">
        <v>550</v>
      </c>
    </row>
    <row r="73" spans="1:20" x14ac:dyDescent="0.3">
      <c r="A73" s="96">
        <v>2.6</v>
      </c>
      <c r="B73" s="221" t="s">
        <v>90</v>
      </c>
      <c r="C73" s="222"/>
      <c r="D73" s="22"/>
      <c r="E73" s="94"/>
      <c r="G73" s="6">
        <f t="shared" si="2"/>
        <v>0</v>
      </c>
      <c r="H73" s="6">
        <f t="shared" si="3"/>
        <v>0</v>
      </c>
      <c r="J73" s="222"/>
      <c r="K73" s="22"/>
      <c r="M73" s="222"/>
      <c r="N73" s="22"/>
      <c r="P73" s="222"/>
      <c r="Q73" s="22"/>
      <c r="S73" s="222"/>
      <c r="T73" s="22"/>
    </row>
    <row r="74" spans="1:20" x14ac:dyDescent="0.3">
      <c r="A74" s="96">
        <v>2.7</v>
      </c>
      <c r="B74" s="221" t="s">
        <v>91</v>
      </c>
      <c r="C74" s="223"/>
      <c r="D74" s="22"/>
      <c r="E74" s="94"/>
      <c r="G74" s="6">
        <f t="shared" si="2"/>
        <v>0</v>
      </c>
      <c r="H74" s="6">
        <f t="shared" si="3"/>
        <v>0</v>
      </c>
      <c r="J74" s="223"/>
      <c r="K74" s="22"/>
      <c r="M74" s="223"/>
      <c r="N74" s="22"/>
      <c r="P74" s="223"/>
      <c r="Q74" s="22"/>
      <c r="S74" s="223"/>
      <c r="T74" s="22"/>
    </row>
    <row r="75" spans="1:20" x14ac:dyDescent="0.3">
      <c r="A75" s="211">
        <v>3</v>
      </c>
      <c r="B75" s="211" t="s">
        <v>389</v>
      </c>
      <c r="C75" s="83"/>
      <c r="D75" s="22"/>
      <c r="E75" s="94"/>
      <c r="G75" s="6">
        <f t="shared" si="2"/>
        <v>0</v>
      </c>
      <c r="H75" s="6">
        <f t="shared" si="3"/>
        <v>0</v>
      </c>
      <c r="J75" s="83"/>
      <c r="K75" s="22"/>
      <c r="M75" s="83"/>
      <c r="N75" s="22"/>
      <c r="P75" s="83"/>
      <c r="Q75" s="22"/>
      <c r="S75" s="83"/>
      <c r="T75" s="22"/>
    </row>
    <row r="76" spans="1:20" x14ac:dyDescent="0.3">
      <c r="A76" s="211">
        <v>4</v>
      </c>
      <c r="B76" s="211" t="s">
        <v>235</v>
      </c>
      <c r="C76" s="83"/>
      <c r="D76" s="83">
        <f>SUM(D77:D78)</f>
        <v>0</v>
      </c>
      <c r="E76" s="94"/>
      <c r="G76" s="6">
        <f t="shared" si="2"/>
        <v>0</v>
      </c>
      <c r="H76" s="6">
        <f t="shared" si="3"/>
        <v>0</v>
      </c>
      <c r="J76" s="83"/>
      <c r="K76" s="83">
        <f>SUM(K77:K78)</f>
        <v>0</v>
      </c>
      <c r="M76" s="83"/>
      <c r="N76" s="83">
        <f>SUM(N77:N78)</f>
        <v>0</v>
      </c>
      <c r="P76" s="83"/>
      <c r="Q76" s="83">
        <f>SUM(Q77:Q78)</f>
        <v>0</v>
      </c>
      <c r="S76" s="83"/>
      <c r="T76" s="83">
        <f>SUM(T77:T78)</f>
        <v>0</v>
      </c>
    </row>
    <row r="77" spans="1:20" x14ac:dyDescent="0.3">
      <c r="A77" s="96">
        <v>4.0999999999999996</v>
      </c>
      <c r="B77" s="96" t="s">
        <v>236</v>
      </c>
      <c r="C77" s="222"/>
      <c r="D77" s="8"/>
      <c r="E77" s="94"/>
      <c r="G77" s="6">
        <f t="shared" si="2"/>
        <v>0</v>
      </c>
      <c r="H77" s="6">
        <f t="shared" si="3"/>
        <v>0</v>
      </c>
      <c r="J77" s="222"/>
      <c r="K77" s="8"/>
      <c r="M77" s="222"/>
      <c r="N77" s="8"/>
      <c r="P77" s="222"/>
      <c r="Q77" s="8"/>
      <c r="S77" s="222"/>
      <c r="T77" s="8"/>
    </row>
    <row r="78" spans="1:20" x14ac:dyDescent="0.3">
      <c r="A78" s="96">
        <v>4.2</v>
      </c>
      <c r="B78" s="96" t="s">
        <v>237</v>
      </c>
      <c r="C78" s="223"/>
      <c r="D78" s="8"/>
      <c r="E78" s="94"/>
      <c r="G78" s="6">
        <f t="shared" si="2"/>
        <v>0</v>
      </c>
      <c r="H78" s="6">
        <f t="shared" si="3"/>
        <v>0</v>
      </c>
      <c r="J78" s="223"/>
      <c r="K78" s="8"/>
      <c r="M78" s="223"/>
      <c r="N78" s="8"/>
      <c r="P78" s="223"/>
      <c r="Q78" s="8"/>
      <c r="S78" s="223"/>
      <c r="T78" s="8"/>
    </row>
    <row r="79" spans="1:20" x14ac:dyDescent="0.3">
      <c r="A79" s="211">
        <v>5</v>
      </c>
      <c r="B79" s="211" t="s">
        <v>262</v>
      </c>
      <c r="C79" s="235"/>
      <c r="D79" s="223"/>
      <c r="E79" s="94"/>
      <c r="G79" s="6">
        <f t="shared" si="2"/>
        <v>0</v>
      </c>
      <c r="H79" s="6">
        <f t="shared" si="3"/>
        <v>0</v>
      </c>
      <c r="J79" s="235"/>
      <c r="K79" s="223"/>
      <c r="M79" s="235"/>
      <c r="N79" s="223"/>
      <c r="P79" s="235"/>
      <c r="Q79" s="223"/>
      <c r="S79" s="235"/>
      <c r="T79" s="223"/>
    </row>
    <row r="80" spans="1:20" x14ac:dyDescent="0.3">
      <c r="B80" s="44"/>
    </row>
    <row r="81" spans="1:9" x14ac:dyDescent="0.3">
      <c r="A81" s="482" t="s">
        <v>431</v>
      </c>
      <c r="B81" s="482"/>
      <c r="C81" s="482"/>
      <c r="D81" s="482"/>
      <c r="E81" s="5"/>
    </row>
    <row r="82" spans="1:9" x14ac:dyDescent="0.3">
      <c r="B82" s="44"/>
    </row>
    <row r="83" spans="1:9" s="23" customFormat="1" ht="12.75" x14ac:dyDescent="0.2"/>
    <row r="84" spans="1:9" x14ac:dyDescent="0.3">
      <c r="A84" s="67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7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4" t="s">
        <v>127</v>
      </c>
    </row>
    <row r="90" spans="1:9" s="23" customFormat="1" ht="12.75" x14ac:dyDescent="0.2"/>
  </sheetData>
  <mergeCells count="4">
    <mergeCell ref="C1:D1"/>
    <mergeCell ref="C2:D2"/>
    <mergeCell ref="A81:D81"/>
    <mergeCell ref="P10:Q10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showGridLines="0" view="pageBreakPreview" zoomScale="80" zoomScaleSheetLayoutView="80" workbookViewId="0">
      <selection activeCell="AK26" sqref="AK26"/>
    </sheetView>
  </sheetViews>
  <sheetFormatPr defaultColWidth="9.140625"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27" width="0" style="21" hidden="1" customWidth="1"/>
    <col min="28" max="16384" width="9.140625" style="21"/>
  </cols>
  <sheetData>
    <row r="1" spans="1:21" x14ac:dyDescent="0.3">
      <c r="A1" s="72" t="s">
        <v>285</v>
      </c>
      <c r="B1" s="112"/>
      <c r="C1" s="481" t="s">
        <v>97</v>
      </c>
      <c r="D1" s="481"/>
      <c r="E1" s="145"/>
      <c r="G1" s="21">
        <f>K:K+N:N+Q:Q+T:T</f>
        <v>0</v>
      </c>
      <c r="H1" s="21">
        <f>L:L+O:O+R:R+U:U</f>
        <v>0</v>
      </c>
    </row>
    <row r="2" spans="1:21" x14ac:dyDescent="0.3">
      <c r="A2" s="74" t="s">
        <v>128</v>
      </c>
      <c r="B2" s="112"/>
      <c r="C2" s="471" t="s">
        <v>1112</v>
      </c>
      <c r="D2" s="472"/>
      <c r="E2" s="145"/>
      <c r="G2" s="21">
        <f t="shared" ref="G2:G65" si="0">K:K+N:N+Q:Q+T:T</f>
        <v>0</v>
      </c>
      <c r="H2" s="21">
        <f t="shared" ref="H2:H65" si="1">L:L+O:O+R:R+U:U</f>
        <v>0</v>
      </c>
    </row>
    <row r="3" spans="1:21" x14ac:dyDescent="0.3">
      <c r="A3" s="74"/>
      <c r="B3" s="112"/>
      <c r="C3" s="326"/>
      <c r="D3" s="326"/>
      <c r="E3" s="145"/>
      <c r="G3" s="21">
        <f t="shared" si="0"/>
        <v>0</v>
      </c>
      <c r="H3" s="21">
        <f t="shared" si="1"/>
        <v>0</v>
      </c>
    </row>
    <row r="4" spans="1:21" s="2" customFormat="1" x14ac:dyDescent="0.3">
      <c r="A4" s="75" t="s">
        <v>257</v>
      </c>
      <c r="B4" s="75"/>
      <c r="C4" s="74"/>
      <c r="D4" s="74"/>
      <c r="E4" s="106"/>
      <c r="G4" s="21">
        <f t="shared" si="0"/>
        <v>0</v>
      </c>
      <c r="H4" s="21">
        <f t="shared" si="1"/>
        <v>0</v>
      </c>
      <c r="L4" s="21"/>
    </row>
    <row r="5" spans="1:21" s="2" customFormat="1" x14ac:dyDescent="0.3">
      <c r="A5" s="117" t="str">
        <f>'ფორმა N1'!A5</f>
        <v>მპგ ,, ქართული ოცნება დემოკრატიული საქართველო"</v>
      </c>
      <c r="B5" s="109"/>
      <c r="C5" s="59"/>
      <c r="D5" s="59"/>
      <c r="E5" s="106"/>
      <c r="G5" s="21">
        <f t="shared" si="0"/>
        <v>0</v>
      </c>
      <c r="H5" s="21">
        <f t="shared" si="1"/>
        <v>0</v>
      </c>
    </row>
    <row r="6" spans="1:21" s="2" customFormat="1" x14ac:dyDescent="0.3">
      <c r="A6" s="75"/>
      <c r="B6" s="75"/>
      <c r="C6" s="74"/>
      <c r="D6" s="74"/>
      <c r="E6" s="106"/>
      <c r="G6" s="21">
        <f t="shared" si="0"/>
        <v>0</v>
      </c>
      <c r="H6" s="21">
        <f t="shared" si="1"/>
        <v>0</v>
      </c>
    </row>
    <row r="7" spans="1:21" s="6" customFormat="1" x14ac:dyDescent="0.3">
      <c r="A7" s="325"/>
      <c r="B7" s="325"/>
      <c r="C7" s="76"/>
      <c r="D7" s="76"/>
      <c r="E7" s="146"/>
      <c r="G7" s="21">
        <f t="shared" si="0"/>
        <v>0</v>
      </c>
      <c r="H7" s="21">
        <f t="shared" si="1"/>
        <v>0</v>
      </c>
    </row>
    <row r="8" spans="1:21" s="6" customFormat="1" ht="30" x14ac:dyDescent="0.3">
      <c r="A8" s="104" t="s">
        <v>64</v>
      </c>
      <c r="B8" s="77" t="s">
        <v>11</v>
      </c>
      <c r="C8" s="77" t="s">
        <v>10</v>
      </c>
      <c r="D8" s="77" t="s">
        <v>9</v>
      </c>
      <c r="E8" s="146"/>
      <c r="G8" s="21" t="e">
        <f t="shared" si="0"/>
        <v>#VALUE!</v>
      </c>
      <c r="H8" s="21">
        <f t="shared" si="1"/>
        <v>0</v>
      </c>
      <c r="K8" s="6" t="s">
        <v>934</v>
      </c>
      <c r="N8" s="6" t="s">
        <v>937</v>
      </c>
      <c r="Q8" s="6" t="s">
        <v>936</v>
      </c>
      <c r="T8" s="6" t="s">
        <v>1120</v>
      </c>
    </row>
    <row r="9" spans="1:21" s="9" customFormat="1" ht="18" x14ac:dyDescent="0.3">
      <c r="A9" s="13">
        <v>1</v>
      </c>
      <c r="B9" s="13" t="s">
        <v>57</v>
      </c>
      <c r="C9" s="80">
        <f>SUM(C10,C14,C54,C57,C58,C59,C76)</f>
        <v>26651.279999999999</v>
      </c>
      <c r="D9" s="80">
        <f>SUM(D10,D14,D54,D57,D58,D59,D65,D72,D73)</f>
        <v>26471.279999999999</v>
      </c>
      <c r="E9" s="147"/>
      <c r="G9" s="21">
        <f t="shared" si="0"/>
        <v>26651.77</v>
      </c>
      <c r="H9" s="21">
        <f t="shared" si="1"/>
        <v>26471.279999999999</v>
      </c>
      <c r="K9" s="80">
        <f>SUM(K10,K14,K54,K57,K58,K59,K76)</f>
        <v>1743.82</v>
      </c>
      <c r="L9" s="80">
        <f>SUM(L10,L14,L54,L57,L58,L59,L65,L72,L73)</f>
        <v>1743.33</v>
      </c>
      <c r="N9" s="80">
        <f>SUM(N10,N14,N54,N57,N58,N59,N76)</f>
        <v>10414.24</v>
      </c>
      <c r="O9" s="80">
        <f>SUM(O10,O14,O54,O57,O58,O59,O65,O72,O73)</f>
        <v>10414.24</v>
      </c>
      <c r="Q9" s="80">
        <f>SUM(Q10,Q14,Q54,Q57,Q58,Q59,Q76)</f>
        <v>5522.89</v>
      </c>
      <c r="R9" s="80">
        <f>SUM(R10,R14,R54,R57,R58,R59,R65,R72,R73)</f>
        <v>10777.89</v>
      </c>
      <c r="T9" s="80">
        <f>SUM(T10,T14,T54,T57,T58,T59,T76)</f>
        <v>8970.82</v>
      </c>
      <c r="U9" s="80">
        <f>SUM(U10,U14,U54,U57,U58,U59,U65,U72,U73)</f>
        <v>3535.82</v>
      </c>
    </row>
    <row r="10" spans="1:21" s="9" customFormat="1" ht="18" x14ac:dyDescent="0.3">
      <c r="A10" s="14">
        <v>1.1000000000000001</v>
      </c>
      <c r="B10" s="14" t="s">
        <v>58</v>
      </c>
      <c r="C10" s="82">
        <f>SUM(C11:C13)</f>
        <v>15900</v>
      </c>
      <c r="D10" s="82">
        <f>SUM(D11:D13)</f>
        <v>15720</v>
      </c>
      <c r="E10" s="147"/>
      <c r="G10" s="21">
        <f t="shared" si="0"/>
        <v>15000</v>
      </c>
      <c r="H10" s="21">
        <f t="shared" si="1"/>
        <v>15000</v>
      </c>
      <c r="K10" s="82">
        <f>SUM(K11:K12)</f>
        <v>0</v>
      </c>
      <c r="L10" s="82">
        <f>SUM(L11:L12)</f>
        <v>0</v>
      </c>
      <c r="N10" s="82">
        <f>SUM(N11:N12)</f>
        <v>8750</v>
      </c>
      <c r="O10" s="82">
        <f>SUM(O11:O12)</f>
        <v>8750</v>
      </c>
      <c r="Q10" s="82">
        <f>SUM(Q11:Q12)</f>
        <v>0</v>
      </c>
      <c r="R10" s="82">
        <f>SUM(R11:R12)</f>
        <v>6250</v>
      </c>
      <c r="T10" s="82">
        <f>SUM(T11:T12)</f>
        <v>6250</v>
      </c>
      <c r="U10" s="82">
        <f>SUM(U11:U12)</f>
        <v>0</v>
      </c>
    </row>
    <row r="11" spans="1:21" s="9" customFormat="1" ht="16.5" customHeight="1" x14ac:dyDescent="0.3">
      <c r="A11" s="16" t="s">
        <v>30</v>
      </c>
      <c r="B11" s="16" t="s">
        <v>59</v>
      </c>
      <c r="C11" s="33">
        <v>15000</v>
      </c>
      <c r="D11" s="34">
        <v>15000</v>
      </c>
      <c r="E11" s="147"/>
      <c r="G11" s="21">
        <f t="shared" si="0"/>
        <v>15000</v>
      </c>
      <c r="H11" s="21">
        <f t="shared" si="1"/>
        <v>15000</v>
      </c>
      <c r="K11" s="33"/>
      <c r="L11" s="34"/>
      <c r="N11" s="33">
        <v>8750</v>
      </c>
      <c r="O11" s="34">
        <v>8750</v>
      </c>
      <c r="Q11" s="33"/>
      <c r="R11" s="34">
        <v>6250</v>
      </c>
      <c r="T11" s="33">
        <v>6250</v>
      </c>
      <c r="U11" s="34"/>
    </row>
    <row r="12" spans="1:21" ht="16.5" customHeight="1" x14ac:dyDescent="0.3">
      <c r="A12" s="16" t="s">
        <v>31</v>
      </c>
      <c r="B12" s="16" t="s">
        <v>0</v>
      </c>
      <c r="C12" s="33"/>
      <c r="D12" s="34"/>
      <c r="E12" s="145"/>
      <c r="G12" s="21">
        <f t="shared" si="0"/>
        <v>0</v>
      </c>
      <c r="H12" s="21">
        <f t="shared" si="1"/>
        <v>0</v>
      </c>
      <c r="K12" s="33"/>
      <c r="L12" s="34"/>
      <c r="N12" s="33"/>
      <c r="O12" s="34"/>
      <c r="Q12" s="33"/>
      <c r="R12" s="34"/>
      <c r="T12" s="33"/>
      <c r="U12" s="34"/>
    </row>
    <row r="13" spans="1:21" ht="16.5" customHeight="1" x14ac:dyDescent="0.3">
      <c r="A13" s="378" t="s">
        <v>455</v>
      </c>
      <c r="B13" s="379" t="s">
        <v>456</v>
      </c>
      <c r="C13" s="33">
        <v>900</v>
      </c>
      <c r="D13" s="34">
        <v>720</v>
      </c>
      <c r="E13" s="145"/>
      <c r="G13" s="21">
        <f t="shared" si="0"/>
        <v>0</v>
      </c>
      <c r="H13" s="21">
        <f t="shared" si="1"/>
        <v>0</v>
      </c>
      <c r="K13" s="33"/>
      <c r="L13" s="34"/>
      <c r="N13" s="33"/>
      <c r="O13" s="34"/>
      <c r="Q13" s="33"/>
      <c r="R13" s="34"/>
      <c r="T13" s="33"/>
      <c r="U13" s="34"/>
    </row>
    <row r="14" spans="1:21" x14ac:dyDescent="0.3">
      <c r="A14" s="14">
        <v>1.2</v>
      </c>
      <c r="B14" s="14" t="s">
        <v>60</v>
      </c>
      <c r="C14" s="82">
        <f>SUM(C15,C18,C30:C33,C36,C37,C44,C45,C46,C47,C48,C52,C53)</f>
        <v>10751.28</v>
      </c>
      <c r="D14" s="82">
        <f>SUM(D15,D18,D30:D33,D36,D37,D44,D45,D46,D47,D48,D52,D53)</f>
        <v>10751.28</v>
      </c>
      <c r="E14" s="145"/>
      <c r="G14" s="21">
        <f t="shared" si="0"/>
        <v>11651.77</v>
      </c>
      <c r="H14" s="21">
        <f t="shared" si="1"/>
        <v>11471.279999999999</v>
      </c>
      <c r="K14" s="82">
        <f>SUM(K15,K18,K30:K33,K36,K37,K44,K45,K46,K47,K48,K52,K53)</f>
        <v>1743.82</v>
      </c>
      <c r="L14" s="82">
        <f>SUM(L15,L18,L30:L33,L36,L37,L44,L45,L46,L47,L48,L52,L53)</f>
        <v>1743.33</v>
      </c>
      <c r="N14" s="82">
        <f>SUM(N15,N18,N30:N33,N36,N37,N44,N45,N46,N47,N48,N52,N53)</f>
        <v>1664.24</v>
      </c>
      <c r="O14" s="82">
        <f>SUM(O15,O18,O30:O33,O36,O37,O44,O45,O46,O47,O48,O52,O53)</f>
        <v>1664.24</v>
      </c>
      <c r="Q14" s="82">
        <f>SUM(Q15,Q18,Q30:Q33,Q36,Q37,Q44,Q45,Q46,Q47,Q48,Q52,Q53)</f>
        <v>5522.89</v>
      </c>
      <c r="R14" s="82">
        <f>SUM(R15,R18,R30:R33,R36,R37,R44,R45,R46,R47,R48,R52,R53)</f>
        <v>4527.8899999999994</v>
      </c>
      <c r="T14" s="82">
        <f>SUM(T15,T18,T30:T33,T36,T37,T44,T45,T46,T47,T48,T52,T53)</f>
        <v>2720.82</v>
      </c>
      <c r="U14" s="82">
        <f>SUM(U15,U18,U30:U33,U36,U37,U44,U45,U46,U47,U48,U52,U53)</f>
        <v>3535.82</v>
      </c>
    </row>
    <row r="15" spans="1:21" x14ac:dyDescent="0.3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5"/>
      <c r="G15" s="21">
        <f t="shared" si="0"/>
        <v>0</v>
      </c>
      <c r="H15" s="21">
        <f t="shared" si="1"/>
        <v>0</v>
      </c>
      <c r="K15" s="81">
        <f>SUM(K16:K17)</f>
        <v>0</v>
      </c>
      <c r="L15" s="81">
        <f>SUM(L16:L17)</f>
        <v>0</v>
      </c>
      <c r="N15" s="81">
        <f>SUM(N16:N17)</f>
        <v>0</v>
      </c>
      <c r="O15" s="81">
        <f>SUM(O16:O17)</f>
        <v>0</v>
      </c>
      <c r="Q15" s="81">
        <f>SUM(Q16:Q17)</f>
        <v>0</v>
      </c>
      <c r="R15" s="81">
        <f>SUM(R16:R17)</f>
        <v>0</v>
      </c>
      <c r="T15" s="81">
        <f>SUM(T16:T17)</f>
        <v>0</v>
      </c>
      <c r="U15" s="81">
        <f>SUM(U16:U17)</f>
        <v>0</v>
      </c>
    </row>
    <row r="16" spans="1:21" ht="17.25" customHeight="1" x14ac:dyDescent="0.3">
      <c r="A16" s="17" t="s">
        <v>87</v>
      </c>
      <c r="B16" s="17" t="s">
        <v>61</v>
      </c>
      <c r="C16" s="35"/>
      <c r="D16" s="36"/>
      <c r="E16" s="145"/>
      <c r="G16" s="21">
        <f t="shared" si="0"/>
        <v>0</v>
      </c>
      <c r="H16" s="21">
        <f t="shared" si="1"/>
        <v>0</v>
      </c>
      <c r="K16" s="35"/>
      <c r="L16" s="36"/>
      <c r="N16" s="35"/>
      <c r="O16" s="36"/>
      <c r="Q16" s="35"/>
      <c r="R16" s="36"/>
      <c r="T16" s="35"/>
      <c r="U16" s="36"/>
    </row>
    <row r="17" spans="1:21" ht="17.25" customHeight="1" x14ac:dyDescent="0.3">
      <c r="A17" s="17" t="s">
        <v>88</v>
      </c>
      <c r="B17" s="17" t="s">
        <v>62</v>
      </c>
      <c r="C17" s="35"/>
      <c r="D17" s="36"/>
      <c r="E17" s="145"/>
      <c r="G17" s="21">
        <f t="shared" si="0"/>
        <v>0</v>
      </c>
      <c r="H17" s="21">
        <f t="shared" si="1"/>
        <v>0</v>
      </c>
      <c r="K17" s="35"/>
      <c r="L17" s="36"/>
      <c r="N17" s="35"/>
      <c r="O17" s="36"/>
      <c r="Q17" s="35"/>
      <c r="R17" s="36"/>
      <c r="T17" s="35"/>
      <c r="U17" s="36"/>
    </row>
    <row r="18" spans="1:21" x14ac:dyDescent="0.3">
      <c r="A18" s="16" t="s">
        <v>33</v>
      </c>
      <c r="B18" s="16" t="s">
        <v>2</v>
      </c>
      <c r="C18" s="81">
        <f>SUM(C19:C24,C29)</f>
        <v>0</v>
      </c>
      <c r="D18" s="81">
        <f>SUM(D19:D24,D29)</f>
        <v>0</v>
      </c>
      <c r="E18" s="145"/>
      <c r="G18" s="21">
        <f t="shared" si="0"/>
        <v>0</v>
      </c>
      <c r="H18" s="21">
        <f t="shared" si="1"/>
        <v>0</v>
      </c>
      <c r="K18" s="81">
        <f>SUM(K19:K24,K29)</f>
        <v>0</v>
      </c>
      <c r="L18" s="81">
        <f>SUM(L19:L24,L29)</f>
        <v>0</v>
      </c>
      <c r="N18" s="81">
        <f>SUM(N19:N24,N29)</f>
        <v>0</v>
      </c>
      <c r="O18" s="81">
        <f>SUM(O19:O24,O29)</f>
        <v>0</v>
      </c>
      <c r="Q18" s="81">
        <f>SUM(Q19:Q24,Q29)</f>
        <v>0</v>
      </c>
      <c r="R18" s="81">
        <f>SUM(R19:R24,R29)</f>
        <v>0</v>
      </c>
      <c r="T18" s="81">
        <f>SUM(T19:T24,T29)</f>
        <v>0</v>
      </c>
      <c r="U18" s="81">
        <f>SUM(U19:U24,U29)</f>
        <v>0</v>
      </c>
    </row>
    <row r="19" spans="1:21" ht="30" x14ac:dyDescent="0.3">
      <c r="A19" s="17" t="s">
        <v>12</v>
      </c>
      <c r="B19" s="17" t="s">
        <v>233</v>
      </c>
      <c r="C19" s="37"/>
      <c r="D19" s="38"/>
      <c r="E19" s="145"/>
      <c r="G19" s="21">
        <f t="shared" si="0"/>
        <v>0</v>
      </c>
      <c r="H19" s="21">
        <f t="shared" si="1"/>
        <v>0</v>
      </c>
      <c r="K19" s="37"/>
      <c r="L19" s="38"/>
      <c r="N19" s="37"/>
      <c r="O19" s="38"/>
      <c r="Q19" s="37"/>
      <c r="R19" s="38"/>
      <c r="T19" s="37"/>
      <c r="U19" s="38"/>
    </row>
    <row r="20" spans="1:21" x14ac:dyDescent="0.3">
      <c r="A20" s="17" t="s">
        <v>13</v>
      </c>
      <c r="B20" s="17" t="s">
        <v>14</v>
      </c>
      <c r="C20" s="37"/>
      <c r="D20" s="39"/>
      <c r="E20" s="145"/>
      <c r="G20" s="21">
        <f t="shared" si="0"/>
        <v>0</v>
      </c>
      <c r="H20" s="21">
        <f t="shared" si="1"/>
        <v>0</v>
      </c>
      <c r="K20" s="37"/>
      <c r="L20" s="39"/>
      <c r="N20" s="37"/>
      <c r="O20" s="39"/>
      <c r="Q20" s="37"/>
      <c r="R20" s="39"/>
      <c r="T20" s="37"/>
      <c r="U20" s="39"/>
    </row>
    <row r="21" spans="1:21" ht="30" x14ac:dyDescent="0.3">
      <c r="A21" s="17" t="s">
        <v>264</v>
      </c>
      <c r="B21" s="17" t="s">
        <v>22</v>
      </c>
      <c r="C21" s="37"/>
      <c r="D21" s="40"/>
      <c r="E21" s="145"/>
      <c r="G21" s="21">
        <f t="shared" si="0"/>
        <v>0</v>
      </c>
      <c r="H21" s="21">
        <f t="shared" si="1"/>
        <v>0</v>
      </c>
      <c r="K21" s="37"/>
      <c r="L21" s="40"/>
      <c r="N21" s="37"/>
      <c r="O21" s="40"/>
      <c r="Q21" s="37"/>
      <c r="R21" s="40"/>
      <c r="T21" s="37"/>
      <c r="U21" s="40"/>
    </row>
    <row r="22" spans="1:21" x14ac:dyDescent="0.3">
      <c r="A22" s="17" t="s">
        <v>265</v>
      </c>
      <c r="B22" s="17" t="s">
        <v>15</v>
      </c>
      <c r="C22" s="413"/>
      <c r="D22" s="40"/>
      <c r="E22" s="145"/>
      <c r="G22" s="21">
        <f t="shared" si="0"/>
        <v>0</v>
      </c>
      <c r="H22" s="21">
        <f t="shared" si="1"/>
        <v>0</v>
      </c>
      <c r="K22" s="413"/>
      <c r="L22" s="40"/>
      <c r="N22" s="413"/>
      <c r="O22" s="40"/>
      <c r="Q22" s="413"/>
      <c r="R22" s="40"/>
      <c r="T22" s="413"/>
      <c r="U22" s="40"/>
    </row>
    <row r="23" spans="1:21" x14ac:dyDescent="0.3">
      <c r="A23" s="17" t="s">
        <v>266</v>
      </c>
      <c r="B23" s="17" t="s">
        <v>16</v>
      </c>
      <c r="C23" s="37"/>
      <c r="D23" s="40"/>
      <c r="E23" s="145"/>
      <c r="G23" s="21">
        <f t="shared" si="0"/>
        <v>0</v>
      </c>
      <c r="H23" s="21">
        <f t="shared" si="1"/>
        <v>0</v>
      </c>
      <c r="K23" s="37"/>
      <c r="L23" s="40"/>
      <c r="N23" s="37"/>
      <c r="O23" s="40"/>
      <c r="Q23" s="37"/>
      <c r="R23" s="40"/>
      <c r="T23" s="37"/>
      <c r="U23" s="40"/>
    </row>
    <row r="24" spans="1:21" x14ac:dyDescent="0.3">
      <c r="A24" s="17" t="s">
        <v>267</v>
      </c>
      <c r="B24" s="17" t="s">
        <v>17</v>
      </c>
      <c r="C24" s="414">
        <f>SUM(C25:C28)</f>
        <v>0</v>
      </c>
      <c r="D24" s="115">
        <f>SUM(D25:D28)</f>
        <v>0</v>
      </c>
      <c r="E24" s="145"/>
      <c r="G24" s="21">
        <f t="shared" si="0"/>
        <v>0</v>
      </c>
      <c r="H24" s="21">
        <f t="shared" si="1"/>
        <v>0</v>
      </c>
      <c r="K24" s="414">
        <f>SUM(K25:K28)</f>
        <v>0</v>
      </c>
      <c r="L24" s="115">
        <f>SUM(L25:L28)</f>
        <v>0</v>
      </c>
      <c r="N24" s="414">
        <f>SUM(N25:N28)</f>
        <v>0</v>
      </c>
      <c r="O24" s="115">
        <f>SUM(O25:O28)</f>
        <v>0</v>
      </c>
      <c r="Q24" s="414">
        <f>SUM(Q25:Q28)</f>
        <v>0</v>
      </c>
      <c r="R24" s="115">
        <f>SUM(R25:R28)</f>
        <v>0</v>
      </c>
      <c r="T24" s="414">
        <f>SUM(T25:T28)</f>
        <v>0</v>
      </c>
      <c r="U24" s="115">
        <f>SUM(U25:U28)</f>
        <v>0</v>
      </c>
    </row>
    <row r="25" spans="1:21" ht="16.5" customHeight="1" x14ac:dyDescent="0.3">
      <c r="A25" s="18" t="s">
        <v>268</v>
      </c>
      <c r="B25" s="18" t="s">
        <v>18</v>
      </c>
      <c r="C25" s="413"/>
      <c r="D25" s="40"/>
      <c r="E25" s="145"/>
      <c r="G25" s="21">
        <f t="shared" si="0"/>
        <v>0</v>
      </c>
      <c r="H25" s="21">
        <f t="shared" si="1"/>
        <v>0</v>
      </c>
      <c r="K25" s="413"/>
      <c r="L25" s="40"/>
      <c r="N25" s="413"/>
      <c r="O25" s="40"/>
      <c r="Q25" s="413"/>
      <c r="R25" s="40"/>
      <c r="T25" s="413"/>
      <c r="U25" s="40"/>
    </row>
    <row r="26" spans="1:21" ht="16.5" customHeight="1" x14ac:dyDescent="0.3">
      <c r="A26" s="18" t="s">
        <v>269</v>
      </c>
      <c r="B26" s="18" t="s">
        <v>19</v>
      </c>
      <c r="C26" s="413"/>
      <c r="D26" s="40"/>
      <c r="E26" s="145"/>
      <c r="G26" s="21">
        <f t="shared" si="0"/>
        <v>0</v>
      </c>
      <c r="H26" s="21">
        <f t="shared" si="1"/>
        <v>0</v>
      </c>
      <c r="K26" s="413"/>
      <c r="L26" s="40"/>
      <c r="N26" s="413"/>
      <c r="O26" s="40"/>
      <c r="Q26" s="413"/>
      <c r="R26" s="40"/>
      <c r="T26" s="413"/>
      <c r="U26" s="40"/>
    </row>
    <row r="27" spans="1:21" ht="16.5" customHeight="1" x14ac:dyDescent="0.3">
      <c r="A27" s="18" t="s">
        <v>270</v>
      </c>
      <c r="B27" s="18" t="s">
        <v>20</v>
      </c>
      <c r="C27" s="413"/>
      <c r="D27" s="40"/>
      <c r="E27" s="145"/>
      <c r="G27" s="21">
        <f t="shared" si="0"/>
        <v>0</v>
      </c>
      <c r="H27" s="21">
        <f t="shared" si="1"/>
        <v>0</v>
      </c>
      <c r="K27" s="413"/>
      <c r="L27" s="40"/>
      <c r="N27" s="413"/>
      <c r="O27" s="40"/>
      <c r="Q27" s="413"/>
      <c r="R27" s="40"/>
      <c r="T27" s="413"/>
      <c r="U27" s="40"/>
    </row>
    <row r="28" spans="1:21" ht="16.5" customHeight="1" x14ac:dyDescent="0.3">
      <c r="A28" s="18" t="s">
        <v>271</v>
      </c>
      <c r="B28" s="18" t="s">
        <v>23</v>
      </c>
      <c r="C28" s="413"/>
      <c r="D28" s="41"/>
      <c r="E28" s="145"/>
      <c r="G28" s="21">
        <f t="shared" si="0"/>
        <v>0</v>
      </c>
      <c r="H28" s="21">
        <f t="shared" si="1"/>
        <v>0</v>
      </c>
      <c r="K28" s="413"/>
      <c r="L28" s="41"/>
      <c r="N28" s="413"/>
      <c r="O28" s="41"/>
      <c r="Q28" s="413"/>
      <c r="R28" s="41"/>
      <c r="T28" s="413"/>
      <c r="U28" s="41"/>
    </row>
    <row r="29" spans="1:21" x14ac:dyDescent="0.3">
      <c r="A29" s="17" t="s">
        <v>272</v>
      </c>
      <c r="B29" s="17" t="s">
        <v>21</v>
      </c>
      <c r="C29" s="37"/>
      <c r="D29" s="41"/>
      <c r="E29" s="145"/>
      <c r="G29" s="21">
        <f t="shared" si="0"/>
        <v>0</v>
      </c>
      <c r="H29" s="21">
        <f t="shared" si="1"/>
        <v>0</v>
      </c>
      <c r="K29" s="37"/>
      <c r="L29" s="41"/>
      <c r="N29" s="37"/>
      <c r="O29" s="41"/>
      <c r="Q29" s="37"/>
      <c r="R29" s="41"/>
      <c r="T29" s="37"/>
      <c r="U29" s="41"/>
    </row>
    <row r="30" spans="1:21" x14ac:dyDescent="0.3">
      <c r="A30" s="16" t="s">
        <v>34</v>
      </c>
      <c r="B30" s="16" t="s">
        <v>3</v>
      </c>
      <c r="C30" s="33"/>
      <c r="D30" s="34"/>
      <c r="E30" s="145"/>
      <c r="G30" s="21">
        <f t="shared" si="0"/>
        <v>0</v>
      </c>
      <c r="H30" s="21">
        <f t="shared" si="1"/>
        <v>0</v>
      </c>
      <c r="K30" s="33"/>
      <c r="L30" s="34"/>
      <c r="N30" s="33"/>
      <c r="O30" s="34"/>
      <c r="Q30" s="33"/>
      <c r="R30" s="34"/>
      <c r="T30" s="33"/>
      <c r="U30" s="34"/>
    </row>
    <row r="31" spans="1:21" x14ac:dyDescent="0.3">
      <c r="A31" s="16" t="s">
        <v>35</v>
      </c>
      <c r="B31" s="16" t="s">
        <v>4</v>
      </c>
      <c r="C31" s="33"/>
      <c r="D31" s="34"/>
      <c r="E31" s="145"/>
      <c r="G31" s="21">
        <f t="shared" si="0"/>
        <v>0</v>
      </c>
      <c r="H31" s="21">
        <f t="shared" si="1"/>
        <v>0</v>
      </c>
      <c r="K31" s="33"/>
      <c r="L31" s="34"/>
      <c r="N31" s="33"/>
      <c r="O31" s="34"/>
      <c r="Q31" s="33"/>
      <c r="R31" s="34"/>
      <c r="T31" s="33"/>
      <c r="U31" s="34"/>
    </row>
    <row r="32" spans="1:21" x14ac:dyDescent="0.3">
      <c r="A32" s="16" t="s">
        <v>36</v>
      </c>
      <c r="B32" s="16" t="s">
        <v>5</v>
      </c>
      <c r="C32" s="33"/>
      <c r="D32" s="34"/>
      <c r="E32" s="145"/>
      <c r="G32" s="21">
        <f t="shared" si="0"/>
        <v>0</v>
      </c>
      <c r="H32" s="21">
        <f t="shared" si="1"/>
        <v>0</v>
      </c>
      <c r="K32" s="33"/>
      <c r="L32" s="34"/>
      <c r="N32" s="33"/>
      <c r="O32" s="34"/>
      <c r="Q32" s="33"/>
      <c r="R32" s="34"/>
      <c r="T32" s="33"/>
      <c r="U32" s="34"/>
    </row>
    <row r="33" spans="1:21" x14ac:dyDescent="0.3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5"/>
      <c r="G33" s="21">
        <f t="shared" si="0"/>
        <v>0</v>
      </c>
      <c r="H33" s="21">
        <f t="shared" si="1"/>
        <v>0</v>
      </c>
      <c r="K33" s="81">
        <f>SUM(K34:K35)</f>
        <v>0</v>
      </c>
      <c r="L33" s="81">
        <f>SUM(L34:L35)</f>
        <v>0</v>
      </c>
      <c r="N33" s="81">
        <f>SUM(N34:N35)</f>
        <v>0</v>
      </c>
      <c r="O33" s="81">
        <f>SUM(O34:O35)</f>
        <v>0</v>
      </c>
      <c r="Q33" s="81">
        <f>SUM(Q34:Q35)</f>
        <v>0</v>
      </c>
      <c r="R33" s="81">
        <f>SUM(R34:R35)</f>
        <v>0</v>
      </c>
      <c r="T33" s="81">
        <f>SUM(T34:T35)</f>
        <v>0</v>
      </c>
      <c r="U33" s="81">
        <f>SUM(U34:U35)</f>
        <v>0</v>
      </c>
    </row>
    <row r="34" spans="1:21" x14ac:dyDescent="0.3">
      <c r="A34" s="17" t="s">
        <v>273</v>
      </c>
      <c r="B34" s="17" t="s">
        <v>56</v>
      </c>
      <c r="C34" s="33"/>
      <c r="D34" s="34"/>
      <c r="E34" s="145"/>
      <c r="G34" s="21">
        <f t="shared" si="0"/>
        <v>0</v>
      </c>
      <c r="H34" s="21">
        <f t="shared" si="1"/>
        <v>0</v>
      </c>
      <c r="K34" s="33"/>
      <c r="L34" s="34"/>
      <c r="N34" s="33"/>
      <c r="O34" s="34"/>
      <c r="Q34" s="33"/>
      <c r="R34" s="34"/>
      <c r="T34" s="33"/>
      <c r="U34" s="34"/>
    </row>
    <row r="35" spans="1:21" x14ac:dyDescent="0.3">
      <c r="A35" s="17" t="s">
        <v>274</v>
      </c>
      <c r="B35" s="17" t="s">
        <v>55</v>
      </c>
      <c r="C35" s="33"/>
      <c r="D35" s="34"/>
      <c r="E35" s="145"/>
      <c r="G35" s="21">
        <f t="shared" si="0"/>
        <v>0</v>
      </c>
      <c r="H35" s="21">
        <f t="shared" si="1"/>
        <v>0</v>
      </c>
      <c r="K35" s="33"/>
      <c r="L35" s="34"/>
      <c r="N35" s="33"/>
      <c r="O35" s="34"/>
      <c r="Q35" s="33"/>
      <c r="R35" s="34"/>
      <c r="T35" s="33"/>
      <c r="U35" s="34"/>
    </row>
    <row r="36" spans="1:21" x14ac:dyDescent="0.3">
      <c r="A36" s="16" t="s">
        <v>38</v>
      </c>
      <c r="B36" s="16" t="s">
        <v>49</v>
      </c>
      <c r="C36" s="33">
        <v>46.7</v>
      </c>
      <c r="D36" s="34">
        <v>46.7</v>
      </c>
      <c r="E36" s="145"/>
      <c r="G36" s="21">
        <f t="shared" si="0"/>
        <v>46.7</v>
      </c>
      <c r="H36" s="21">
        <f t="shared" si="1"/>
        <v>46.7</v>
      </c>
      <c r="K36" s="33">
        <v>7.82</v>
      </c>
      <c r="L36" s="34">
        <v>7.82</v>
      </c>
      <c r="N36" s="33">
        <f>2.62+2.62</f>
        <v>5.24</v>
      </c>
      <c r="O36" s="34">
        <f>2.62+2.62</f>
        <v>5.24</v>
      </c>
      <c r="Q36" s="33">
        <v>21.35</v>
      </c>
      <c r="R36" s="34">
        <v>21.35</v>
      </c>
      <c r="T36" s="33">
        <v>12.29</v>
      </c>
      <c r="U36" s="34">
        <v>12.29</v>
      </c>
    </row>
    <row r="37" spans="1:21" x14ac:dyDescent="0.3">
      <c r="A37" s="16" t="s">
        <v>39</v>
      </c>
      <c r="B37" s="16" t="s">
        <v>326</v>
      </c>
      <c r="C37" s="81">
        <f>SUM(C38:C43)</f>
        <v>10008.83</v>
      </c>
      <c r="D37" s="81">
        <f>SUM(D38:D43)</f>
        <v>10008.83</v>
      </c>
      <c r="E37" s="145"/>
      <c r="G37" s="21">
        <f t="shared" si="0"/>
        <v>10009.32</v>
      </c>
      <c r="H37" s="21">
        <f t="shared" si="1"/>
        <v>10008.83</v>
      </c>
      <c r="K37" s="81">
        <f>SUM(K38:K43)</f>
        <v>1736</v>
      </c>
      <c r="L37" s="81">
        <f>SUM(L38:L43)</f>
        <v>1735.51</v>
      </c>
      <c r="N37" s="81">
        <f>SUM(N38:N43)</f>
        <v>1409</v>
      </c>
      <c r="O37" s="81">
        <f>SUM(O38:O43)</f>
        <v>1409</v>
      </c>
      <c r="Q37" s="81">
        <f>SUM(Q38:Q43)</f>
        <v>4155.79</v>
      </c>
      <c r="R37" s="81">
        <f>SUM(R38:R43)</f>
        <v>4060.79</v>
      </c>
      <c r="T37" s="81">
        <f>SUM(T38:T43)</f>
        <v>2708.53</v>
      </c>
      <c r="U37" s="81">
        <f>SUM(U38:U43)</f>
        <v>2803.53</v>
      </c>
    </row>
    <row r="38" spans="1:21" x14ac:dyDescent="0.3">
      <c r="A38" s="17" t="s">
        <v>323</v>
      </c>
      <c r="B38" s="17" t="s">
        <v>327</v>
      </c>
      <c r="C38" s="33"/>
      <c r="D38" s="33"/>
      <c r="E38" s="145"/>
      <c r="G38" s="21">
        <f t="shared" si="0"/>
        <v>0</v>
      </c>
      <c r="H38" s="21">
        <f t="shared" si="1"/>
        <v>0</v>
      </c>
      <c r="K38" s="33"/>
      <c r="L38" s="33"/>
      <c r="N38" s="33"/>
      <c r="O38" s="33"/>
      <c r="Q38" s="33"/>
      <c r="R38" s="33"/>
      <c r="T38" s="33"/>
      <c r="U38" s="33"/>
    </row>
    <row r="39" spans="1:21" x14ac:dyDescent="0.3">
      <c r="A39" s="17" t="s">
        <v>324</v>
      </c>
      <c r="B39" s="17" t="s">
        <v>328</v>
      </c>
      <c r="C39" s="33">
        <f>99.37+95</f>
        <v>194.37</v>
      </c>
      <c r="D39" s="33">
        <f>99.37+95</f>
        <v>194.37</v>
      </c>
      <c r="E39" s="145"/>
      <c r="G39" s="21">
        <f t="shared" si="0"/>
        <v>99.37</v>
      </c>
      <c r="H39" s="21">
        <f t="shared" si="1"/>
        <v>99.37</v>
      </c>
      <c r="K39" s="33"/>
      <c r="L39" s="33"/>
      <c r="N39" s="33">
        <v>99.37</v>
      </c>
      <c r="O39" s="33">
        <v>99.37</v>
      </c>
      <c r="Q39" s="33"/>
      <c r="R39" s="33"/>
      <c r="T39" s="33"/>
      <c r="U39" s="33"/>
    </row>
    <row r="40" spans="1:21" x14ac:dyDescent="0.3">
      <c r="A40" s="17" t="s">
        <v>325</v>
      </c>
      <c r="B40" s="17" t="s">
        <v>331</v>
      </c>
      <c r="C40" s="34">
        <v>9814.4599999999991</v>
      </c>
      <c r="D40" s="34">
        <v>9814.4599999999991</v>
      </c>
      <c r="E40" s="145"/>
      <c r="G40" s="21">
        <f t="shared" si="0"/>
        <v>9814.9500000000007</v>
      </c>
      <c r="H40" s="21">
        <f t="shared" si="1"/>
        <v>9814.4600000000009</v>
      </c>
      <c r="K40" s="33">
        <v>1736</v>
      </c>
      <c r="L40" s="34">
        <v>1735.51</v>
      </c>
      <c r="N40" s="34">
        <f>654.98+654.65</f>
        <v>1309.6300000000001</v>
      </c>
      <c r="O40" s="34">
        <f>654.98+654.65</f>
        <v>1309.6300000000001</v>
      </c>
      <c r="Q40" s="34">
        <v>4060.79</v>
      </c>
      <c r="R40" s="34">
        <v>4060.79</v>
      </c>
      <c r="T40" s="34">
        <v>2708.53</v>
      </c>
      <c r="U40" s="34">
        <v>2708.53</v>
      </c>
    </row>
    <row r="41" spans="1:21" x14ac:dyDescent="0.3">
      <c r="A41" s="17" t="s">
        <v>330</v>
      </c>
      <c r="B41" s="17" t="s">
        <v>332</v>
      </c>
      <c r="C41" s="33"/>
      <c r="D41" s="34"/>
      <c r="E41" s="145"/>
      <c r="G41" s="21">
        <f t="shared" si="0"/>
        <v>0</v>
      </c>
      <c r="H41" s="21">
        <f t="shared" si="1"/>
        <v>0</v>
      </c>
      <c r="K41" s="33"/>
      <c r="L41" s="34"/>
      <c r="N41" s="33"/>
      <c r="O41" s="34"/>
      <c r="Q41" s="33"/>
      <c r="R41" s="34"/>
      <c r="T41" s="33"/>
      <c r="U41" s="34"/>
    </row>
    <row r="42" spans="1:21" x14ac:dyDescent="0.3">
      <c r="A42" s="17" t="s">
        <v>333</v>
      </c>
      <c r="B42" s="17" t="s">
        <v>429</v>
      </c>
      <c r="C42" s="33"/>
      <c r="D42" s="34"/>
      <c r="E42" s="145"/>
      <c r="G42" s="21">
        <f t="shared" si="0"/>
        <v>0</v>
      </c>
      <c r="H42" s="21">
        <f t="shared" si="1"/>
        <v>0</v>
      </c>
      <c r="K42" s="33"/>
      <c r="L42" s="34"/>
      <c r="N42" s="33"/>
      <c r="O42" s="34"/>
      <c r="Q42" s="33"/>
      <c r="R42" s="34"/>
      <c r="T42" s="33"/>
      <c r="U42" s="34"/>
    </row>
    <row r="43" spans="1:21" x14ac:dyDescent="0.3">
      <c r="A43" s="17" t="s">
        <v>430</v>
      </c>
      <c r="B43" s="17" t="s">
        <v>329</v>
      </c>
      <c r="C43" s="33"/>
      <c r="D43" s="34"/>
      <c r="E43" s="145"/>
      <c r="G43" s="21">
        <f t="shared" si="0"/>
        <v>95</v>
      </c>
      <c r="H43" s="21">
        <f t="shared" si="1"/>
        <v>95</v>
      </c>
      <c r="I43" s="21" t="s">
        <v>1159</v>
      </c>
      <c r="K43" s="33"/>
      <c r="L43" s="34"/>
      <c r="N43" s="33"/>
      <c r="O43" s="34"/>
      <c r="Q43" s="33">
        <v>95</v>
      </c>
      <c r="R43" s="34"/>
      <c r="T43" s="33"/>
      <c r="U43" s="34">
        <v>95</v>
      </c>
    </row>
    <row r="44" spans="1:21" ht="30" x14ac:dyDescent="0.3">
      <c r="A44" s="16" t="s">
        <v>40</v>
      </c>
      <c r="B44" s="16" t="s">
        <v>28</v>
      </c>
      <c r="C44" s="33"/>
      <c r="D44" s="34"/>
      <c r="E44" s="145"/>
      <c r="G44" s="21">
        <f t="shared" si="0"/>
        <v>0</v>
      </c>
      <c r="H44" s="21">
        <f t="shared" si="1"/>
        <v>0</v>
      </c>
      <c r="K44" s="33"/>
      <c r="L44" s="34"/>
      <c r="N44" s="33"/>
      <c r="O44" s="34"/>
      <c r="Q44" s="33"/>
      <c r="R44" s="34"/>
      <c r="T44" s="33"/>
      <c r="U44" s="34"/>
    </row>
    <row r="45" spans="1:21" x14ac:dyDescent="0.3">
      <c r="A45" s="16" t="s">
        <v>41</v>
      </c>
      <c r="B45" s="16" t="s">
        <v>24</v>
      </c>
      <c r="C45" s="33"/>
      <c r="D45" s="34"/>
      <c r="E45" s="145"/>
      <c r="G45" s="21">
        <f t="shared" si="0"/>
        <v>0</v>
      </c>
      <c r="H45" s="21">
        <f t="shared" si="1"/>
        <v>0</v>
      </c>
      <c r="K45" s="33"/>
      <c r="L45" s="34"/>
      <c r="N45" s="33"/>
      <c r="O45" s="34"/>
      <c r="Q45" s="33"/>
      <c r="R45" s="34"/>
      <c r="T45" s="33"/>
      <c r="U45" s="34"/>
    </row>
    <row r="46" spans="1:21" x14ac:dyDescent="0.3">
      <c r="A46" s="16" t="s">
        <v>42</v>
      </c>
      <c r="B46" s="16" t="s">
        <v>25</v>
      </c>
      <c r="C46" s="33"/>
      <c r="D46" s="34"/>
      <c r="E46" s="145"/>
      <c r="G46" s="21">
        <f t="shared" si="0"/>
        <v>0</v>
      </c>
      <c r="H46" s="21">
        <f t="shared" si="1"/>
        <v>0</v>
      </c>
      <c r="K46" s="33"/>
      <c r="L46" s="34"/>
      <c r="N46" s="33"/>
      <c r="O46" s="34"/>
      <c r="Q46" s="33"/>
      <c r="R46" s="34"/>
      <c r="T46" s="33"/>
      <c r="U46" s="34"/>
    </row>
    <row r="47" spans="1:21" x14ac:dyDescent="0.3">
      <c r="A47" s="16" t="s">
        <v>43</v>
      </c>
      <c r="B47" s="16" t="s">
        <v>26</v>
      </c>
      <c r="C47" s="33"/>
      <c r="D47" s="34"/>
      <c r="E47" s="145"/>
      <c r="G47" s="21">
        <f t="shared" si="0"/>
        <v>0</v>
      </c>
      <c r="H47" s="21">
        <f t="shared" si="1"/>
        <v>0</v>
      </c>
      <c r="K47" s="33"/>
      <c r="L47" s="34"/>
      <c r="N47" s="33"/>
      <c r="O47" s="34"/>
      <c r="Q47" s="33"/>
      <c r="R47" s="34"/>
      <c r="T47" s="33"/>
      <c r="U47" s="34"/>
    </row>
    <row r="48" spans="1:21" x14ac:dyDescent="0.3">
      <c r="A48" s="16" t="s">
        <v>44</v>
      </c>
      <c r="B48" s="16" t="s">
        <v>279</v>
      </c>
      <c r="C48" s="81">
        <f>SUM(C49:C51)</f>
        <v>0</v>
      </c>
      <c r="D48" s="81">
        <f>SUM(D49:D51)</f>
        <v>0</v>
      </c>
      <c r="E48" s="145"/>
      <c r="G48" s="21">
        <f t="shared" si="0"/>
        <v>0</v>
      </c>
      <c r="H48" s="21">
        <f t="shared" si="1"/>
        <v>0</v>
      </c>
      <c r="K48" s="81">
        <f>SUM(K49:K51)</f>
        <v>0</v>
      </c>
      <c r="L48" s="81">
        <f>SUM(L49:L51)</f>
        <v>0</v>
      </c>
      <c r="N48" s="81">
        <f>SUM(N49:N51)</f>
        <v>0</v>
      </c>
      <c r="O48" s="81">
        <f>SUM(O49:O51)</f>
        <v>0</v>
      </c>
      <c r="Q48" s="81">
        <f>SUM(Q49:Q51)</f>
        <v>0</v>
      </c>
      <c r="R48" s="81">
        <f>SUM(R49:R51)</f>
        <v>0</v>
      </c>
      <c r="T48" s="81">
        <f>SUM(T49:T51)</f>
        <v>0</v>
      </c>
      <c r="U48" s="81">
        <f>SUM(U49:U51)</f>
        <v>0</v>
      </c>
    </row>
    <row r="49" spans="1:21" x14ac:dyDescent="0.3">
      <c r="A49" s="95" t="s">
        <v>338</v>
      </c>
      <c r="B49" s="95" t="s">
        <v>341</v>
      </c>
      <c r="C49" s="33"/>
      <c r="D49" s="34"/>
      <c r="E49" s="145"/>
      <c r="G49" s="21">
        <f t="shared" si="0"/>
        <v>0</v>
      </c>
      <c r="H49" s="21">
        <f t="shared" si="1"/>
        <v>0</v>
      </c>
      <c r="K49" s="33"/>
      <c r="L49" s="34"/>
      <c r="N49" s="33"/>
      <c r="O49" s="34"/>
      <c r="Q49" s="33"/>
      <c r="R49" s="34"/>
      <c r="T49" s="33"/>
      <c r="U49" s="34"/>
    </row>
    <row r="50" spans="1:21" x14ac:dyDescent="0.3">
      <c r="A50" s="95" t="s">
        <v>339</v>
      </c>
      <c r="B50" s="95" t="s">
        <v>340</v>
      </c>
      <c r="C50" s="33"/>
      <c r="D50" s="34"/>
      <c r="E50" s="145"/>
      <c r="G50" s="21">
        <f t="shared" si="0"/>
        <v>0</v>
      </c>
      <c r="H50" s="21">
        <f t="shared" si="1"/>
        <v>0</v>
      </c>
      <c r="K50" s="33"/>
      <c r="L50" s="34"/>
      <c r="N50" s="33"/>
      <c r="O50" s="34"/>
      <c r="Q50" s="33"/>
      <c r="R50" s="34"/>
      <c r="T50" s="33"/>
      <c r="U50" s="34"/>
    </row>
    <row r="51" spans="1:21" x14ac:dyDescent="0.3">
      <c r="A51" s="95" t="s">
        <v>342</v>
      </c>
      <c r="B51" s="95" t="s">
        <v>343</v>
      </c>
      <c r="C51" s="33"/>
      <c r="D51" s="34"/>
      <c r="E51" s="145"/>
      <c r="G51" s="21">
        <f t="shared" si="0"/>
        <v>0</v>
      </c>
      <c r="H51" s="21">
        <f t="shared" si="1"/>
        <v>0</v>
      </c>
      <c r="K51" s="33"/>
      <c r="L51" s="34"/>
      <c r="N51" s="33"/>
      <c r="O51" s="34"/>
      <c r="Q51" s="33"/>
      <c r="R51" s="34"/>
      <c r="T51" s="33"/>
      <c r="U51" s="34"/>
    </row>
    <row r="52" spans="1:21" ht="26.25" customHeight="1" x14ac:dyDescent="0.3">
      <c r="A52" s="16" t="s">
        <v>45</v>
      </c>
      <c r="B52" s="16" t="s">
        <v>29</v>
      </c>
      <c r="C52" s="33"/>
      <c r="D52" s="34"/>
      <c r="E52" s="145"/>
      <c r="G52" s="21">
        <f t="shared" si="0"/>
        <v>0</v>
      </c>
      <c r="H52" s="21">
        <f t="shared" si="1"/>
        <v>0</v>
      </c>
      <c r="K52" s="33"/>
      <c r="L52" s="34"/>
      <c r="N52" s="33"/>
      <c r="O52" s="34"/>
      <c r="Q52" s="33"/>
      <c r="R52" s="34"/>
      <c r="T52" s="33"/>
      <c r="U52" s="34"/>
    </row>
    <row r="53" spans="1:21" x14ac:dyDescent="0.3">
      <c r="A53" s="16" t="s">
        <v>46</v>
      </c>
      <c r="B53" s="16" t="s">
        <v>6</v>
      </c>
      <c r="C53" s="33">
        <f>695.75</f>
        <v>695.75</v>
      </c>
      <c r="D53" s="34">
        <f>1415.75-720</f>
        <v>695.75</v>
      </c>
      <c r="E53" s="145"/>
      <c r="F53" s="469" t="s">
        <v>1158</v>
      </c>
      <c r="G53" s="21">
        <f t="shared" si="0"/>
        <v>1595.75</v>
      </c>
      <c r="H53" s="21">
        <f t="shared" si="1"/>
        <v>1415.75</v>
      </c>
      <c r="K53" s="33"/>
      <c r="L53" s="34"/>
      <c r="N53" s="33">
        <v>250</v>
      </c>
      <c r="O53" s="34">
        <v>250</v>
      </c>
      <c r="Q53" s="33">
        <f>900+445.75</f>
        <v>1345.75</v>
      </c>
      <c r="R53" s="34">
        <v>445.75</v>
      </c>
      <c r="T53" s="33"/>
      <c r="U53" s="34">
        <v>720</v>
      </c>
    </row>
    <row r="54" spans="1:21" ht="30" x14ac:dyDescent="0.3">
      <c r="A54" s="14">
        <v>1.3</v>
      </c>
      <c r="B54" s="85" t="s">
        <v>368</v>
      </c>
      <c r="C54" s="82">
        <f>SUM(C55:C56)</f>
        <v>0</v>
      </c>
      <c r="D54" s="82">
        <f>SUM(D55:D56)</f>
        <v>0</v>
      </c>
      <c r="E54" s="145"/>
      <c r="G54" s="21">
        <f t="shared" si="0"/>
        <v>0</v>
      </c>
      <c r="H54" s="21">
        <f t="shared" si="1"/>
        <v>0</v>
      </c>
      <c r="K54" s="82">
        <f>SUM(K55:K56)</f>
        <v>0</v>
      </c>
      <c r="L54" s="82">
        <f>SUM(L55:L56)</f>
        <v>0</v>
      </c>
      <c r="N54" s="82">
        <f>SUM(N55:N56)</f>
        <v>0</v>
      </c>
      <c r="O54" s="82">
        <f>SUM(O55:O56)</f>
        <v>0</v>
      </c>
      <c r="Q54" s="82">
        <f>SUM(Q55:Q56)</f>
        <v>0</v>
      </c>
      <c r="R54" s="82">
        <f>SUM(R55:R56)</f>
        <v>0</v>
      </c>
      <c r="T54" s="82">
        <f>SUM(T55:T56)</f>
        <v>0</v>
      </c>
      <c r="U54" s="82">
        <f>SUM(U55:U56)</f>
        <v>0</v>
      </c>
    </row>
    <row r="55" spans="1:21" ht="30" x14ac:dyDescent="0.3">
      <c r="A55" s="16" t="s">
        <v>50</v>
      </c>
      <c r="B55" s="16" t="s">
        <v>48</v>
      </c>
      <c r="C55" s="33"/>
      <c r="D55" s="34"/>
      <c r="E55" s="145"/>
      <c r="G55" s="21">
        <f t="shared" si="0"/>
        <v>0</v>
      </c>
      <c r="H55" s="21">
        <f t="shared" si="1"/>
        <v>0</v>
      </c>
      <c r="K55" s="33"/>
      <c r="L55" s="34"/>
      <c r="N55" s="33"/>
      <c r="O55" s="34"/>
      <c r="Q55" s="33"/>
      <c r="R55" s="34"/>
      <c r="T55" s="33"/>
      <c r="U55" s="34"/>
    </row>
    <row r="56" spans="1:21" x14ac:dyDescent="0.3">
      <c r="A56" s="16" t="s">
        <v>51</v>
      </c>
      <c r="B56" s="16" t="s">
        <v>47</v>
      </c>
      <c r="C56" s="33"/>
      <c r="D56" s="34"/>
      <c r="E56" s="145"/>
      <c r="G56" s="21">
        <f t="shared" si="0"/>
        <v>0</v>
      </c>
      <c r="H56" s="21">
        <f t="shared" si="1"/>
        <v>0</v>
      </c>
      <c r="K56" s="33"/>
      <c r="L56" s="34"/>
      <c r="N56" s="33"/>
      <c r="O56" s="34"/>
      <c r="Q56" s="33"/>
      <c r="R56" s="34"/>
      <c r="T56" s="33"/>
      <c r="U56" s="34"/>
    </row>
    <row r="57" spans="1:21" x14ac:dyDescent="0.3">
      <c r="A57" s="14">
        <v>1.4</v>
      </c>
      <c r="B57" s="14" t="s">
        <v>370</v>
      </c>
      <c r="C57" s="33"/>
      <c r="D57" s="34"/>
      <c r="E57" s="145"/>
      <c r="G57" s="21">
        <f t="shared" si="0"/>
        <v>0</v>
      </c>
      <c r="H57" s="21">
        <f t="shared" si="1"/>
        <v>0</v>
      </c>
      <c r="K57" s="33"/>
      <c r="L57" s="34"/>
      <c r="N57" s="33"/>
      <c r="O57" s="34"/>
      <c r="Q57" s="33"/>
      <c r="R57" s="34"/>
      <c r="T57" s="33"/>
      <c r="U57" s="34"/>
    </row>
    <row r="58" spans="1:21" x14ac:dyDescent="0.3">
      <c r="A58" s="14">
        <v>1.5</v>
      </c>
      <c r="B58" s="14" t="s">
        <v>7</v>
      </c>
      <c r="C58" s="37"/>
      <c r="D58" s="40"/>
      <c r="E58" s="145"/>
      <c r="G58" s="21">
        <f t="shared" si="0"/>
        <v>0</v>
      </c>
      <c r="H58" s="21">
        <f t="shared" si="1"/>
        <v>0</v>
      </c>
      <c r="K58" s="37"/>
      <c r="L58" s="40"/>
      <c r="N58" s="37"/>
      <c r="O58" s="40"/>
      <c r="Q58" s="37"/>
      <c r="R58" s="40"/>
      <c r="T58" s="37"/>
      <c r="U58" s="40"/>
    </row>
    <row r="59" spans="1:21" x14ac:dyDescent="0.3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5"/>
      <c r="G59" s="21">
        <f t="shared" si="0"/>
        <v>0</v>
      </c>
      <c r="H59" s="21">
        <f t="shared" si="1"/>
        <v>0</v>
      </c>
      <c r="K59" s="82">
        <f>SUM(K60:K64)</f>
        <v>0</v>
      </c>
      <c r="L59" s="82">
        <f>SUM(L60:L64)</f>
        <v>0</v>
      </c>
      <c r="N59" s="82">
        <f>SUM(N60:N64)</f>
        <v>0</v>
      </c>
      <c r="O59" s="82">
        <f>SUM(O60:O64)</f>
        <v>0</v>
      </c>
      <c r="Q59" s="82">
        <f>SUM(Q60:Q64)</f>
        <v>0</v>
      </c>
      <c r="R59" s="82">
        <f>SUM(R60:R64)</f>
        <v>0</v>
      </c>
      <c r="T59" s="82">
        <f>SUM(T60:T64)</f>
        <v>0</v>
      </c>
      <c r="U59" s="82">
        <f>SUM(U60:U64)</f>
        <v>0</v>
      </c>
    </row>
    <row r="60" spans="1:21" x14ac:dyDescent="0.3">
      <c r="A60" s="16" t="s">
        <v>280</v>
      </c>
      <c r="B60" s="46" t="s">
        <v>52</v>
      </c>
      <c r="C60" s="37"/>
      <c r="D60" s="40"/>
      <c r="E60" s="145"/>
      <c r="G60" s="21">
        <f t="shared" si="0"/>
        <v>0</v>
      </c>
      <c r="H60" s="21">
        <f t="shared" si="1"/>
        <v>0</v>
      </c>
      <c r="K60" s="37"/>
      <c r="L60" s="40"/>
      <c r="N60" s="37"/>
      <c r="O60" s="40"/>
      <c r="Q60" s="37"/>
      <c r="R60" s="40"/>
      <c r="T60" s="37"/>
      <c r="U60" s="40"/>
    </row>
    <row r="61" spans="1:21" ht="30" x14ac:dyDescent="0.3">
      <c r="A61" s="16" t="s">
        <v>281</v>
      </c>
      <c r="B61" s="46" t="s">
        <v>54</v>
      </c>
      <c r="C61" s="37"/>
      <c r="D61" s="40"/>
      <c r="E61" s="145"/>
      <c r="G61" s="21">
        <f t="shared" si="0"/>
        <v>0</v>
      </c>
      <c r="H61" s="21">
        <f t="shared" si="1"/>
        <v>0</v>
      </c>
      <c r="K61" s="37"/>
      <c r="L61" s="40"/>
      <c r="N61" s="37"/>
      <c r="O61" s="40"/>
      <c r="Q61" s="37"/>
      <c r="R61" s="40"/>
      <c r="T61" s="37"/>
      <c r="U61" s="40"/>
    </row>
    <row r="62" spans="1:21" x14ac:dyDescent="0.3">
      <c r="A62" s="16" t="s">
        <v>282</v>
      </c>
      <c r="B62" s="46" t="s">
        <v>53</v>
      </c>
      <c r="C62" s="40"/>
      <c r="D62" s="40"/>
      <c r="E62" s="145"/>
      <c r="G62" s="21">
        <f t="shared" si="0"/>
        <v>0</v>
      </c>
      <c r="H62" s="21">
        <f t="shared" si="1"/>
        <v>0</v>
      </c>
      <c r="K62" s="40"/>
      <c r="L62" s="40"/>
      <c r="N62" s="40"/>
      <c r="O62" s="40"/>
      <c r="Q62" s="40"/>
      <c r="R62" s="40"/>
      <c r="T62" s="40"/>
      <c r="U62" s="40"/>
    </row>
    <row r="63" spans="1:21" x14ac:dyDescent="0.3">
      <c r="A63" s="16" t="s">
        <v>283</v>
      </c>
      <c r="B63" s="46" t="s">
        <v>27</v>
      </c>
      <c r="C63" s="37"/>
      <c r="D63" s="40"/>
      <c r="E63" s="145"/>
      <c r="G63" s="21">
        <f t="shared" si="0"/>
        <v>0</v>
      </c>
      <c r="H63" s="21">
        <f t="shared" si="1"/>
        <v>0</v>
      </c>
      <c r="K63" s="37"/>
      <c r="L63" s="40"/>
      <c r="N63" s="37"/>
      <c r="O63" s="40"/>
      <c r="Q63" s="37"/>
      <c r="R63" s="40"/>
      <c r="T63" s="37"/>
      <c r="U63" s="40"/>
    </row>
    <row r="64" spans="1:21" x14ac:dyDescent="0.3">
      <c r="A64" s="16" t="s">
        <v>309</v>
      </c>
      <c r="B64" s="192" t="s">
        <v>310</v>
      </c>
      <c r="C64" s="37"/>
      <c r="D64" s="193"/>
      <c r="E64" s="145"/>
      <c r="G64" s="21">
        <f t="shared" si="0"/>
        <v>0</v>
      </c>
      <c r="H64" s="21">
        <f t="shared" si="1"/>
        <v>0</v>
      </c>
      <c r="K64" s="37"/>
      <c r="L64" s="193"/>
      <c r="N64" s="37"/>
      <c r="O64" s="193"/>
      <c r="Q64" s="37"/>
      <c r="R64" s="193"/>
      <c r="T64" s="37"/>
      <c r="U64" s="193"/>
    </row>
    <row r="65" spans="1:21" x14ac:dyDescent="0.3">
      <c r="A65" s="13">
        <v>2</v>
      </c>
      <c r="B65" s="47" t="s">
        <v>95</v>
      </c>
      <c r="C65" s="238"/>
      <c r="D65" s="116">
        <f>SUM(D66:D71)</f>
        <v>0</v>
      </c>
      <c r="E65" s="145"/>
      <c r="G65" s="21">
        <f t="shared" si="0"/>
        <v>0</v>
      </c>
      <c r="H65" s="21">
        <f t="shared" si="1"/>
        <v>0</v>
      </c>
      <c r="K65" s="238"/>
      <c r="L65" s="116">
        <f>SUM(L66:L71)</f>
        <v>0</v>
      </c>
      <c r="N65" s="238"/>
      <c r="O65" s="116">
        <f>SUM(O66:O71)</f>
        <v>0</v>
      </c>
      <c r="Q65" s="238"/>
      <c r="R65" s="116">
        <f>SUM(R66:R71)</f>
        <v>0</v>
      </c>
      <c r="T65" s="238"/>
      <c r="U65" s="116">
        <f>SUM(U66:U71)</f>
        <v>0</v>
      </c>
    </row>
    <row r="66" spans="1:21" x14ac:dyDescent="0.3">
      <c r="A66" s="15">
        <v>2.1</v>
      </c>
      <c r="B66" s="48" t="s">
        <v>89</v>
      </c>
      <c r="C66" s="238"/>
      <c r="D66" s="42"/>
      <c r="E66" s="145"/>
      <c r="G66" s="21">
        <f t="shared" ref="G66:G79" si="2">K:K+N:N+Q:Q+T:T</f>
        <v>0</v>
      </c>
      <c r="H66" s="21">
        <f t="shared" ref="H66:H78" si="3">L:L+O:O+R:R+U:U</f>
        <v>0</v>
      </c>
      <c r="K66" s="238"/>
      <c r="L66" s="42"/>
      <c r="N66" s="238"/>
      <c r="O66" s="42"/>
      <c r="Q66" s="238"/>
      <c r="R66" s="42"/>
      <c r="T66" s="238"/>
      <c r="U66" s="42"/>
    </row>
    <row r="67" spans="1:21" x14ac:dyDescent="0.3">
      <c r="A67" s="15">
        <v>2.2000000000000002</v>
      </c>
      <c r="B67" s="48" t="s">
        <v>93</v>
      </c>
      <c r="C67" s="240"/>
      <c r="D67" s="43"/>
      <c r="E67" s="145"/>
      <c r="G67" s="21">
        <f t="shared" si="2"/>
        <v>0</v>
      </c>
      <c r="H67" s="21">
        <f t="shared" si="3"/>
        <v>0</v>
      </c>
      <c r="K67" s="240"/>
      <c r="L67" s="43"/>
      <c r="N67" s="240"/>
      <c r="O67" s="43"/>
      <c r="Q67" s="240"/>
      <c r="R67" s="43"/>
      <c r="T67" s="240"/>
      <c r="U67" s="43"/>
    </row>
    <row r="68" spans="1:21" x14ac:dyDescent="0.3">
      <c r="A68" s="15">
        <v>2.2999999999999998</v>
      </c>
      <c r="B68" s="48" t="s">
        <v>92</v>
      </c>
      <c r="C68" s="240"/>
      <c r="D68" s="43"/>
      <c r="E68" s="145"/>
      <c r="G68" s="21">
        <f t="shared" si="2"/>
        <v>0</v>
      </c>
      <c r="H68" s="21">
        <f t="shared" si="3"/>
        <v>0</v>
      </c>
      <c r="K68" s="240"/>
      <c r="L68" s="43"/>
      <c r="N68" s="240"/>
      <c r="O68" s="43"/>
      <c r="Q68" s="240"/>
      <c r="R68" s="43"/>
      <c r="T68" s="240"/>
      <c r="U68" s="43"/>
    </row>
    <row r="69" spans="1:21" x14ac:dyDescent="0.3">
      <c r="A69" s="15">
        <v>2.4</v>
      </c>
      <c r="B69" s="48" t="s">
        <v>94</v>
      </c>
      <c r="C69" s="240"/>
      <c r="D69" s="43"/>
      <c r="E69" s="145"/>
      <c r="G69" s="21">
        <f t="shared" si="2"/>
        <v>0</v>
      </c>
      <c r="H69" s="21">
        <f t="shared" si="3"/>
        <v>0</v>
      </c>
      <c r="K69" s="240"/>
      <c r="L69" s="43"/>
      <c r="N69" s="240"/>
      <c r="O69" s="43"/>
      <c r="Q69" s="240"/>
      <c r="R69" s="43"/>
      <c r="T69" s="240"/>
      <c r="U69" s="43"/>
    </row>
    <row r="70" spans="1:21" x14ac:dyDescent="0.3">
      <c r="A70" s="15">
        <v>2.5</v>
      </c>
      <c r="B70" s="48" t="s">
        <v>90</v>
      </c>
      <c r="C70" s="240"/>
      <c r="D70" s="43"/>
      <c r="E70" s="145"/>
      <c r="G70" s="21">
        <f t="shared" si="2"/>
        <v>0</v>
      </c>
      <c r="H70" s="21">
        <f t="shared" si="3"/>
        <v>0</v>
      </c>
      <c r="K70" s="240"/>
      <c r="L70" s="43"/>
      <c r="N70" s="240"/>
      <c r="O70" s="43"/>
      <c r="Q70" s="240"/>
      <c r="R70" s="43"/>
      <c r="T70" s="240"/>
      <c r="U70" s="43"/>
    </row>
    <row r="71" spans="1:21" x14ac:dyDescent="0.3">
      <c r="A71" s="15">
        <v>2.6</v>
      </c>
      <c r="B71" s="48" t="s">
        <v>91</v>
      </c>
      <c r="C71" s="240"/>
      <c r="D71" s="43"/>
      <c r="E71" s="145"/>
      <c r="G71" s="21">
        <f t="shared" si="2"/>
        <v>0</v>
      </c>
      <c r="H71" s="21">
        <f t="shared" si="3"/>
        <v>0</v>
      </c>
      <c r="K71" s="240"/>
      <c r="L71" s="43"/>
      <c r="N71" s="240"/>
      <c r="O71" s="43"/>
      <c r="Q71" s="240"/>
      <c r="R71" s="43"/>
      <c r="T71" s="240"/>
      <c r="U71" s="43"/>
    </row>
    <row r="72" spans="1:21" s="2" customFormat="1" x14ac:dyDescent="0.3">
      <c r="A72" s="13">
        <v>3</v>
      </c>
      <c r="B72" s="236" t="s">
        <v>389</v>
      </c>
      <c r="C72" s="239"/>
      <c r="D72" s="237"/>
      <c r="E72" s="103"/>
      <c r="G72" s="21">
        <f t="shared" si="2"/>
        <v>0</v>
      </c>
      <c r="H72" s="21">
        <f t="shared" si="3"/>
        <v>0</v>
      </c>
      <c r="K72" s="239"/>
      <c r="L72" s="237"/>
      <c r="N72" s="239"/>
      <c r="O72" s="237"/>
      <c r="Q72" s="239"/>
      <c r="R72" s="237"/>
      <c r="T72" s="239"/>
      <c r="U72" s="237"/>
    </row>
    <row r="73" spans="1:21" s="2" customFormat="1" x14ac:dyDescent="0.3">
      <c r="A73" s="13">
        <v>4</v>
      </c>
      <c r="B73" s="13" t="s">
        <v>235</v>
      </c>
      <c r="C73" s="239">
        <f>SUM(C74:C75)</f>
        <v>0</v>
      </c>
      <c r="D73" s="83">
        <f>SUM(D74:D75)</f>
        <v>0</v>
      </c>
      <c r="E73" s="103"/>
      <c r="G73" s="21">
        <f t="shared" si="2"/>
        <v>0</v>
      </c>
      <c r="H73" s="21">
        <f t="shared" si="3"/>
        <v>0</v>
      </c>
      <c r="K73" s="239">
        <f>SUM(K74:K75)</f>
        <v>0</v>
      </c>
      <c r="L73" s="83">
        <f>SUM(L74:L75)</f>
        <v>0</v>
      </c>
      <c r="N73" s="239">
        <f>SUM(N74:N75)</f>
        <v>0</v>
      </c>
      <c r="O73" s="83">
        <f>SUM(O74:O75)</f>
        <v>0</v>
      </c>
      <c r="Q73" s="239">
        <f>SUM(Q74:Q75)</f>
        <v>0</v>
      </c>
      <c r="R73" s="83">
        <f>SUM(R74:R75)</f>
        <v>0</v>
      </c>
      <c r="T73" s="239">
        <f>SUM(T74:T75)</f>
        <v>0</v>
      </c>
      <c r="U73" s="83">
        <f>SUM(U74:U75)</f>
        <v>0</v>
      </c>
    </row>
    <row r="74" spans="1:21" s="2" customFormat="1" x14ac:dyDescent="0.3">
      <c r="A74" s="15">
        <v>4.0999999999999996</v>
      </c>
      <c r="B74" s="15" t="s">
        <v>236</v>
      </c>
      <c r="C74" s="8"/>
      <c r="D74" s="8"/>
      <c r="E74" s="103"/>
      <c r="G74" s="21">
        <f t="shared" si="2"/>
        <v>0</v>
      </c>
      <c r="H74" s="21">
        <f t="shared" si="3"/>
        <v>0</v>
      </c>
      <c r="K74" s="8"/>
      <c r="L74" s="8"/>
      <c r="N74" s="8"/>
      <c r="O74" s="8"/>
      <c r="Q74" s="8"/>
      <c r="R74" s="8"/>
      <c r="T74" s="8"/>
      <c r="U74" s="8"/>
    </row>
    <row r="75" spans="1:21" s="2" customFormat="1" x14ac:dyDescent="0.3">
      <c r="A75" s="15">
        <v>4.2</v>
      </c>
      <c r="B75" s="15" t="s">
        <v>237</v>
      </c>
      <c r="C75" s="8"/>
      <c r="D75" s="8"/>
      <c r="E75" s="103"/>
      <c r="G75" s="21">
        <f t="shared" si="2"/>
        <v>0</v>
      </c>
      <c r="H75" s="21">
        <f t="shared" si="3"/>
        <v>0</v>
      </c>
      <c r="K75" s="8"/>
      <c r="L75" s="8"/>
      <c r="N75" s="8"/>
      <c r="O75" s="8"/>
      <c r="Q75" s="8"/>
      <c r="R75" s="8"/>
      <c r="T75" s="8"/>
      <c r="U75" s="8"/>
    </row>
    <row r="76" spans="1:21" s="2" customFormat="1" x14ac:dyDescent="0.3">
      <c r="A76" s="13">
        <v>5</v>
      </c>
      <c r="B76" s="234" t="s">
        <v>262</v>
      </c>
      <c r="C76" s="8"/>
      <c r="D76" s="83"/>
      <c r="E76" s="103"/>
      <c r="G76" s="21">
        <f t="shared" si="2"/>
        <v>0</v>
      </c>
      <c r="H76" s="21">
        <f t="shared" si="3"/>
        <v>0</v>
      </c>
      <c r="K76" s="8"/>
      <c r="L76" s="83"/>
      <c r="N76" s="8"/>
      <c r="O76" s="83"/>
      <c r="Q76" s="8"/>
      <c r="R76" s="83"/>
      <c r="T76" s="8"/>
      <c r="U76" s="83"/>
    </row>
    <row r="77" spans="1:21" s="2" customFormat="1" x14ac:dyDescent="0.3">
      <c r="A77" s="335"/>
      <c r="B77" s="335"/>
      <c r="C77" s="12"/>
      <c r="D77" s="12"/>
      <c r="E77" s="103"/>
      <c r="G77" s="21">
        <f t="shared" si="2"/>
        <v>0</v>
      </c>
      <c r="H77" s="21">
        <f t="shared" si="3"/>
        <v>0</v>
      </c>
    </row>
    <row r="78" spans="1:21" s="2" customFormat="1" x14ac:dyDescent="0.3">
      <c r="A78" s="482" t="s">
        <v>431</v>
      </c>
      <c r="B78" s="482"/>
      <c r="C78" s="482"/>
      <c r="D78" s="482"/>
      <c r="E78" s="103"/>
      <c r="G78" s="21">
        <f t="shared" si="2"/>
        <v>0</v>
      </c>
      <c r="H78" s="21">
        <f t="shared" si="3"/>
        <v>0</v>
      </c>
    </row>
    <row r="79" spans="1:21" s="2" customFormat="1" x14ac:dyDescent="0.3">
      <c r="A79" s="335"/>
      <c r="B79" s="335"/>
      <c r="C79" s="12"/>
      <c r="D79" s="12"/>
      <c r="E79" s="103"/>
      <c r="G79" s="21">
        <f t="shared" si="2"/>
        <v>0</v>
      </c>
    </row>
    <row r="80" spans="1:21" s="23" customFormat="1" ht="12.75" x14ac:dyDescent="0.2"/>
    <row r="81" spans="1:9" s="2" customFormat="1" x14ac:dyDescent="0.3">
      <c r="A81" s="67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483" t="s">
        <v>433</v>
      </c>
      <c r="C85" s="483"/>
      <c r="D85" s="483"/>
      <c r="E85"/>
      <c r="F85"/>
      <c r="G85"/>
      <c r="H85"/>
      <c r="I85"/>
    </row>
    <row r="86" spans="1:9" customFormat="1" ht="12.75" x14ac:dyDescent="0.2">
      <c r="B86" s="64" t="s">
        <v>434</v>
      </c>
    </row>
    <row r="87" spans="1:9" s="2" customFormat="1" x14ac:dyDescent="0.3">
      <c r="A87" s="11"/>
      <c r="B87" s="483" t="s">
        <v>435</v>
      </c>
      <c r="C87" s="483"/>
      <c r="D87" s="483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I18" sqref="I18"/>
    </sheetView>
  </sheetViews>
  <sheetFormatPr defaultColWidth="9.140625"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307</v>
      </c>
      <c r="B1" s="75"/>
      <c r="C1" s="481" t="s">
        <v>97</v>
      </c>
      <c r="D1" s="481"/>
      <c r="E1" s="89"/>
    </row>
    <row r="2" spans="1:5" s="6" customFormat="1" x14ac:dyDescent="0.3">
      <c r="A2" s="72" t="s">
        <v>301</v>
      </c>
      <c r="B2" s="75"/>
      <c r="C2" s="471" t="s">
        <v>1112</v>
      </c>
      <c r="D2" s="472"/>
      <c r="E2" s="89"/>
    </row>
    <row r="3" spans="1:5" s="6" customFormat="1" x14ac:dyDescent="0.3">
      <c r="A3" s="74" t="s">
        <v>128</v>
      </c>
      <c r="B3" s="72"/>
      <c r="C3" s="154"/>
      <c r="D3" s="154"/>
      <c r="E3" s="89"/>
    </row>
    <row r="4" spans="1:5" s="6" customFormat="1" x14ac:dyDescent="0.3">
      <c r="A4" s="75" t="s">
        <v>257</v>
      </c>
      <c r="B4" s="74"/>
      <c r="C4" s="154"/>
      <c r="D4" s="154"/>
      <c r="E4" s="89"/>
    </row>
    <row r="5" spans="1:5" x14ac:dyDescent="0.3">
      <c r="A5" s="75" t="str">
        <f>'ფორმა N2'!A5</f>
        <v>მპგ ,, ქართული ოცნება დემოკრატიული საქართველო"</v>
      </c>
      <c r="B5" s="75"/>
      <c r="C5" s="74"/>
      <c r="D5" s="74"/>
      <c r="E5" s="90"/>
    </row>
    <row r="6" spans="1:5" x14ac:dyDescent="0.3">
      <c r="A6" s="75"/>
      <c r="B6" s="75"/>
      <c r="C6" s="74"/>
      <c r="D6" s="74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3"/>
      <c r="B8" s="153"/>
      <c r="C8" s="76"/>
      <c r="D8" s="76"/>
      <c r="E8" s="89"/>
    </row>
    <row r="9" spans="1:5" s="6" customFormat="1" ht="30" x14ac:dyDescent="0.3">
      <c r="A9" s="87" t="s">
        <v>64</v>
      </c>
      <c r="B9" s="87" t="s">
        <v>306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302</v>
      </c>
      <c r="B10" s="96"/>
      <c r="C10" s="4"/>
      <c r="D10" s="4"/>
      <c r="E10" s="91"/>
    </row>
    <row r="11" spans="1:5" s="10" customFormat="1" x14ac:dyDescent="0.2">
      <c r="A11" s="96" t="s">
        <v>303</v>
      </c>
      <c r="B11" s="96"/>
      <c r="C11" s="4"/>
      <c r="D11" s="4"/>
      <c r="E11" s="92"/>
    </row>
    <row r="12" spans="1:5" s="10" customFormat="1" x14ac:dyDescent="0.2">
      <c r="A12" s="85" t="s">
        <v>261</v>
      </c>
      <c r="B12" s="85"/>
      <c r="C12" s="4"/>
      <c r="D12" s="4"/>
      <c r="E12" s="92"/>
    </row>
    <row r="13" spans="1:5" s="10" customFormat="1" x14ac:dyDescent="0.2">
      <c r="A13" s="85" t="s">
        <v>261</v>
      </c>
      <c r="B13" s="85"/>
      <c r="C13" s="4"/>
      <c r="D13" s="4"/>
      <c r="E13" s="92"/>
    </row>
    <row r="14" spans="1:5" s="10" customFormat="1" x14ac:dyDescent="0.2">
      <c r="A14" s="85" t="s">
        <v>261</v>
      </c>
      <c r="B14" s="85"/>
      <c r="C14" s="4"/>
      <c r="D14" s="4"/>
      <c r="E14" s="92"/>
    </row>
    <row r="15" spans="1:5" s="10" customFormat="1" x14ac:dyDescent="0.2">
      <c r="A15" s="85" t="s">
        <v>261</v>
      </c>
      <c r="B15" s="85"/>
      <c r="C15" s="4"/>
      <c r="D15" s="4"/>
      <c r="E15" s="92"/>
    </row>
    <row r="16" spans="1:5" s="10" customFormat="1" x14ac:dyDescent="0.2">
      <c r="A16" s="85" t="s">
        <v>261</v>
      </c>
      <c r="B16" s="85"/>
      <c r="C16" s="4"/>
      <c r="D16" s="4"/>
      <c r="E16" s="92"/>
    </row>
    <row r="17" spans="1:5" s="10" customFormat="1" ht="25.5" customHeight="1" x14ac:dyDescent="0.2">
      <c r="A17" s="96" t="s">
        <v>304</v>
      </c>
      <c r="B17" s="85" t="s">
        <v>907</v>
      </c>
      <c r="C17" s="85">
        <v>445.75</v>
      </c>
      <c r="D17" s="85">
        <v>445.75</v>
      </c>
      <c r="E17" s="92"/>
    </row>
    <row r="18" spans="1:5" s="10" customFormat="1" ht="18" customHeight="1" x14ac:dyDescent="0.2">
      <c r="A18" s="96" t="s">
        <v>305</v>
      </c>
      <c r="B18" s="85" t="s">
        <v>938</v>
      </c>
      <c r="C18" s="4">
        <v>250</v>
      </c>
      <c r="D18" s="4">
        <v>250</v>
      </c>
      <c r="E18" s="92"/>
    </row>
    <row r="19" spans="1:5" s="10" customFormat="1" ht="30" x14ac:dyDescent="0.2">
      <c r="A19" s="96" t="s">
        <v>1111</v>
      </c>
      <c r="B19" s="85"/>
      <c r="C19" s="4"/>
      <c r="D19" s="4"/>
      <c r="E19" s="92"/>
    </row>
    <row r="20" spans="1:5" s="10" customFormat="1" x14ac:dyDescent="0.2">
      <c r="A20" s="85" t="s">
        <v>261</v>
      </c>
      <c r="B20" s="85"/>
      <c r="C20" s="4"/>
      <c r="D20" s="4"/>
      <c r="E20" s="92"/>
    </row>
    <row r="21" spans="1:5" s="10" customFormat="1" x14ac:dyDescent="0.2">
      <c r="A21" s="85" t="s">
        <v>261</v>
      </c>
      <c r="B21" s="85"/>
      <c r="C21" s="4"/>
      <c r="D21" s="4"/>
      <c r="E21" s="92"/>
    </row>
    <row r="22" spans="1:5" s="10" customFormat="1" x14ac:dyDescent="0.2">
      <c r="A22" s="85" t="s">
        <v>261</v>
      </c>
      <c r="B22" s="85"/>
      <c r="C22" s="4"/>
      <c r="D22" s="4"/>
      <c r="E22" s="92"/>
    </row>
    <row r="23" spans="1:5" s="10" customFormat="1" x14ac:dyDescent="0.2">
      <c r="A23" s="85" t="s">
        <v>261</v>
      </c>
      <c r="B23" s="85"/>
      <c r="C23" s="4"/>
      <c r="D23" s="4"/>
      <c r="E23" s="92"/>
    </row>
    <row r="24" spans="1:5" s="3" customFormat="1" x14ac:dyDescent="0.2">
      <c r="A24" s="86"/>
      <c r="B24" s="86"/>
      <c r="C24" s="4"/>
      <c r="D24" s="4"/>
      <c r="E24" s="93"/>
    </row>
    <row r="25" spans="1:5" x14ac:dyDescent="0.3">
      <c r="A25" s="97"/>
      <c r="B25" s="97" t="s">
        <v>308</v>
      </c>
      <c r="C25" s="84">
        <f>SUM(C10:C24)</f>
        <v>695.75</v>
      </c>
      <c r="D25" s="84">
        <f>SUM(D10:D24)</f>
        <v>695.75</v>
      </c>
      <c r="E25" s="94"/>
    </row>
    <row r="26" spans="1:5" x14ac:dyDescent="0.3">
      <c r="A26" s="44"/>
      <c r="B26" s="44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1" t="s">
        <v>373</v>
      </c>
    </row>
    <row r="30" spans="1:5" x14ac:dyDescent="0.3">
      <c r="A30" s="191"/>
    </row>
    <row r="31" spans="1:5" x14ac:dyDescent="0.3">
      <c r="A31" s="191" t="s">
        <v>321</v>
      </c>
    </row>
    <row r="32" spans="1:5" s="23" customFormat="1" ht="12.75" x14ac:dyDescent="0.2"/>
    <row r="33" spans="1:9" x14ac:dyDescent="0.3">
      <c r="A33" s="67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7"/>
      <c r="B36" s="67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4"/>
      <c r="B38" s="64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view="pageBreakPreview" zoomScale="80" zoomScaleSheetLayoutView="80" workbookViewId="0">
      <selection activeCell="F14" sqref="F14"/>
    </sheetView>
  </sheetViews>
  <sheetFormatPr defaultColWidth="9.140625" defaultRowHeight="12.75" x14ac:dyDescent="0.2"/>
  <cols>
    <col min="1" max="1" width="5.42578125" style="176" customWidth="1"/>
    <col min="2" max="2" width="20.85546875" style="176" customWidth="1"/>
    <col min="3" max="3" width="26" style="176" customWidth="1"/>
    <col min="4" max="4" width="17" style="176" customWidth="1"/>
    <col min="5" max="5" width="18.140625" style="176" customWidth="1"/>
    <col min="6" max="6" width="14.7109375" style="176" customWidth="1"/>
    <col min="7" max="7" width="15.5703125" style="176" customWidth="1"/>
    <col min="8" max="8" width="14.7109375" style="176" customWidth="1"/>
    <col min="9" max="9" width="29.7109375" style="176" customWidth="1"/>
    <col min="10" max="10" width="0" style="176" hidden="1" customWidth="1"/>
    <col min="11" max="16384" width="9.140625" style="176"/>
  </cols>
  <sheetData>
    <row r="1" spans="1:10" ht="15" x14ac:dyDescent="0.3">
      <c r="A1" s="72" t="s">
        <v>406</v>
      </c>
      <c r="B1" s="72"/>
      <c r="C1" s="75"/>
      <c r="D1" s="75"/>
      <c r="E1" s="75"/>
      <c r="F1" s="75"/>
      <c r="G1" s="244"/>
      <c r="H1" s="244"/>
      <c r="I1" s="481" t="s">
        <v>97</v>
      </c>
      <c r="J1" s="481"/>
    </row>
    <row r="2" spans="1:10" ht="15" x14ac:dyDescent="0.3">
      <c r="A2" s="74" t="s">
        <v>128</v>
      </c>
      <c r="B2" s="72"/>
      <c r="C2" s="75"/>
      <c r="D2" s="75"/>
      <c r="E2" s="75"/>
      <c r="F2" s="75"/>
      <c r="G2" s="244"/>
      <c r="H2" s="244"/>
      <c r="I2" s="471" t="s">
        <v>1112</v>
      </c>
      <c r="J2" s="472"/>
    </row>
    <row r="3" spans="1:10" ht="15" x14ac:dyDescent="0.3">
      <c r="A3" s="74"/>
      <c r="B3" s="74"/>
      <c r="C3" s="72"/>
      <c r="D3" s="72"/>
      <c r="E3" s="72"/>
      <c r="F3" s="72"/>
      <c r="G3" s="244"/>
      <c r="H3" s="244"/>
      <c r="I3" s="244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78" t="str">
        <f>'ფორმა N1'!A5</f>
        <v>მპგ ,, ქართული ოცნება დემოკრატიული საქართველო"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243"/>
      <c r="B7" s="243"/>
      <c r="C7" s="243"/>
      <c r="D7" s="243"/>
      <c r="E7" s="243"/>
      <c r="F7" s="243"/>
      <c r="G7" s="76"/>
      <c r="H7" s="76"/>
      <c r="I7" s="76"/>
    </row>
    <row r="8" spans="1:10" ht="45" x14ac:dyDescent="0.2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317</v>
      </c>
      <c r="F8" s="88" t="s">
        <v>320</v>
      </c>
      <c r="G8" s="77" t="s">
        <v>10</v>
      </c>
      <c r="H8" s="77" t="s">
        <v>9</v>
      </c>
      <c r="I8" s="77" t="s">
        <v>357</v>
      </c>
      <c r="J8" s="202" t="s">
        <v>319</v>
      </c>
    </row>
    <row r="9" spans="1:10" ht="15" x14ac:dyDescent="0.2">
      <c r="A9" s="96">
        <v>1</v>
      </c>
      <c r="B9" s="96" t="s">
        <v>882</v>
      </c>
      <c r="C9" s="96" t="s">
        <v>883</v>
      </c>
      <c r="D9" s="96" t="s">
        <v>884</v>
      </c>
      <c r="E9" s="96" t="s">
        <v>885</v>
      </c>
      <c r="F9" s="96" t="s">
        <v>319</v>
      </c>
      <c r="G9" s="460">
        <f>2500+2500</f>
        <v>5000</v>
      </c>
      <c r="H9" s="462">
        <f>2500+2500</f>
        <v>5000</v>
      </c>
      <c r="I9" s="460">
        <f>G9*0.2</f>
        <v>1000</v>
      </c>
      <c r="J9" s="202" t="s">
        <v>0</v>
      </c>
    </row>
    <row r="10" spans="1:10" ht="15" x14ac:dyDescent="0.2">
      <c r="A10" s="96">
        <v>2</v>
      </c>
      <c r="B10" s="96" t="s">
        <v>886</v>
      </c>
      <c r="C10" s="96" t="s">
        <v>887</v>
      </c>
      <c r="D10" s="96" t="s">
        <v>888</v>
      </c>
      <c r="E10" s="96" t="s">
        <v>889</v>
      </c>
      <c r="F10" s="96" t="s">
        <v>319</v>
      </c>
      <c r="G10" s="460">
        <f>1250+1250</f>
        <v>2500</v>
      </c>
      <c r="H10" s="462">
        <f>1250+1250</f>
        <v>2500</v>
      </c>
      <c r="I10" s="460">
        <f t="shared" ref="I10:I11" si="0">G10*0.2</f>
        <v>500</v>
      </c>
    </row>
    <row r="11" spans="1:10" ht="75" x14ac:dyDescent="0.2">
      <c r="A11" s="96">
        <v>3</v>
      </c>
      <c r="B11" s="96" t="s">
        <v>890</v>
      </c>
      <c r="C11" s="96" t="s">
        <v>891</v>
      </c>
      <c r="D11" s="96" t="s">
        <v>892</v>
      </c>
      <c r="E11" s="96" t="s">
        <v>893</v>
      </c>
      <c r="F11" s="96" t="s">
        <v>319</v>
      </c>
      <c r="G11" s="460">
        <f>2500+5000</f>
        <v>7500</v>
      </c>
      <c r="H11" s="462">
        <f>5000+2500</f>
        <v>7500</v>
      </c>
      <c r="I11" s="460">
        <f t="shared" si="0"/>
        <v>1500</v>
      </c>
    </row>
    <row r="12" spans="1:10" ht="15" x14ac:dyDescent="0.2">
      <c r="A12" s="96"/>
      <c r="B12" s="96"/>
      <c r="C12" s="96"/>
      <c r="D12" s="461"/>
      <c r="E12" s="96"/>
      <c r="F12" s="96"/>
      <c r="G12" s="462"/>
      <c r="H12" s="460"/>
      <c r="I12" s="4"/>
    </row>
    <row r="13" spans="1:10" ht="15" x14ac:dyDescent="0.2">
      <c r="A13" s="96"/>
      <c r="B13" s="85"/>
      <c r="C13" s="85"/>
      <c r="D13" s="85"/>
      <c r="E13" s="85"/>
      <c r="F13" s="96"/>
      <c r="G13" s="422"/>
      <c r="H13" s="4"/>
      <c r="I13" s="4"/>
    </row>
    <row r="14" spans="1:10" ht="15" x14ac:dyDescent="0.2">
      <c r="A14" s="96"/>
      <c r="B14" s="85"/>
      <c r="C14" s="85"/>
      <c r="D14" s="85"/>
      <c r="E14" s="85"/>
      <c r="F14" s="96"/>
      <c r="G14" s="4"/>
      <c r="H14" s="4"/>
      <c r="I14" s="4"/>
    </row>
    <row r="15" spans="1:10" ht="15" x14ac:dyDescent="0.2">
      <c r="A15" s="96"/>
      <c r="B15" s="85"/>
      <c r="C15" s="85"/>
      <c r="D15" s="85"/>
      <c r="E15" s="85"/>
      <c r="F15" s="96"/>
      <c r="G15" s="4"/>
      <c r="H15" s="4"/>
      <c r="I15" s="4"/>
    </row>
    <row r="16" spans="1:10" ht="15" x14ac:dyDescent="0.2">
      <c r="A16" s="96"/>
      <c r="B16" s="85"/>
      <c r="C16" s="85"/>
      <c r="D16" s="85"/>
      <c r="E16" s="85"/>
      <c r="F16" s="96"/>
      <c r="G16" s="4"/>
      <c r="H16" s="4"/>
      <c r="I16" s="4"/>
    </row>
    <row r="17" spans="1:9" ht="15" x14ac:dyDescent="0.2">
      <c r="A17" s="96"/>
      <c r="B17" s="85"/>
      <c r="C17" s="85"/>
      <c r="D17" s="85"/>
      <c r="E17" s="85"/>
      <c r="F17" s="96"/>
      <c r="G17" s="4"/>
      <c r="H17" s="4"/>
      <c r="I17" s="4"/>
    </row>
    <row r="18" spans="1:9" ht="15" x14ac:dyDescent="0.2">
      <c r="A18" s="96"/>
      <c r="B18" s="85"/>
      <c r="C18" s="85"/>
      <c r="D18" s="85"/>
      <c r="E18" s="85"/>
      <c r="F18" s="96"/>
      <c r="G18" s="4"/>
      <c r="H18" s="4"/>
      <c r="I18" s="4"/>
    </row>
    <row r="19" spans="1:9" ht="22.5" customHeight="1" x14ac:dyDescent="0.2">
      <c r="A19" s="96"/>
      <c r="B19" s="85"/>
      <c r="C19" s="85"/>
      <c r="D19" s="85"/>
      <c r="E19" s="85"/>
      <c r="F19" s="96"/>
      <c r="G19" s="4"/>
      <c r="H19" s="4"/>
      <c r="I19" s="4"/>
    </row>
    <row r="20" spans="1:9" ht="15" x14ac:dyDescent="0.2">
      <c r="A20" s="85" t="s">
        <v>259</v>
      </c>
      <c r="B20" s="85"/>
      <c r="C20" s="85"/>
      <c r="D20" s="85"/>
      <c r="E20" s="85"/>
      <c r="F20" s="96"/>
      <c r="G20" s="4"/>
      <c r="H20" s="4"/>
      <c r="I20" s="4"/>
    </row>
    <row r="21" spans="1:9" ht="15" x14ac:dyDescent="0.3">
      <c r="A21" s="85"/>
      <c r="B21" s="97"/>
      <c r="C21" s="97"/>
      <c r="D21" s="97"/>
      <c r="E21" s="97"/>
      <c r="F21" s="85" t="s">
        <v>394</v>
      </c>
      <c r="G21" s="84">
        <f>SUM(G9:G20)</f>
        <v>15000</v>
      </c>
      <c r="H21" s="84">
        <f>SUM(H9:H20)</f>
        <v>15000</v>
      </c>
      <c r="I21" s="84">
        <f>SUM(I9:I20)</f>
        <v>3000</v>
      </c>
    </row>
    <row r="22" spans="1:9" ht="15" x14ac:dyDescent="0.3">
      <c r="A22" s="200"/>
      <c r="B22" s="200"/>
      <c r="C22" s="200"/>
      <c r="D22" s="200"/>
      <c r="E22" s="200"/>
      <c r="F22" s="200"/>
      <c r="G22" s="200"/>
      <c r="H22" s="175"/>
      <c r="I22" s="175"/>
    </row>
    <row r="23" spans="1:9" ht="15" x14ac:dyDescent="0.3">
      <c r="A23" s="201" t="s">
        <v>407</v>
      </c>
      <c r="B23" s="201"/>
      <c r="C23" s="200"/>
      <c r="D23" s="200"/>
      <c r="E23" s="200"/>
      <c r="F23" s="200"/>
      <c r="G23" s="200"/>
      <c r="H23" s="175"/>
      <c r="I23" s="175"/>
    </row>
    <row r="24" spans="1:9" ht="15" x14ac:dyDescent="0.3">
      <c r="A24" s="201"/>
      <c r="B24" s="201"/>
      <c r="C24" s="200"/>
      <c r="D24" s="200"/>
      <c r="E24" s="200"/>
      <c r="F24" s="200"/>
      <c r="G24" s="200"/>
      <c r="H24" s="175"/>
      <c r="I24" s="175"/>
    </row>
    <row r="25" spans="1:9" ht="15" x14ac:dyDescent="0.3">
      <c r="A25" s="201"/>
      <c r="B25" s="201"/>
      <c r="C25" s="175"/>
      <c r="D25" s="175"/>
      <c r="E25" s="175"/>
      <c r="F25" s="175"/>
      <c r="G25" s="175"/>
      <c r="H25" s="175"/>
      <c r="I25" s="175"/>
    </row>
    <row r="26" spans="1:9" ht="15" x14ac:dyDescent="0.3">
      <c r="A26" s="201"/>
      <c r="B26" s="201"/>
      <c r="C26" s="175"/>
      <c r="D26" s="175"/>
      <c r="E26" s="175"/>
      <c r="F26" s="175"/>
      <c r="G26" s="175"/>
      <c r="H26" s="175"/>
      <c r="I26" s="175"/>
    </row>
    <row r="27" spans="1:9" x14ac:dyDescent="0.2">
      <c r="A27" s="198"/>
      <c r="B27" s="198"/>
      <c r="C27" s="198"/>
      <c r="D27" s="198"/>
      <c r="E27" s="198"/>
      <c r="F27" s="198"/>
      <c r="G27" s="198"/>
      <c r="H27" s="198"/>
      <c r="I27" s="198"/>
    </row>
    <row r="28" spans="1:9" ht="15" x14ac:dyDescent="0.3">
      <c r="A28" s="181" t="s">
        <v>96</v>
      </c>
      <c r="B28" s="181"/>
      <c r="C28" s="175"/>
      <c r="D28" s="175"/>
      <c r="E28" s="175"/>
      <c r="F28" s="175"/>
      <c r="G28" s="175"/>
      <c r="H28" s="175"/>
      <c r="I28" s="175"/>
    </row>
    <row r="29" spans="1:9" ht="15" x14ac:dyDescent="0.3">
      <c r="A29" s="175"/>
      <c r="B29" s="175"/>
      <c r="C29" s="175"/>
      <c r="D29" s="175"/>
      <c r="E29" s="175"/>
      <c r="F29" s="175"/>
      <c r="G29" s="175"/>
      <c r="H29" s="175"/>
      <c r="I29" s="175"/>
    </row>
    <row r="30" spans="1:9" ht="15" x14ac:dyDescent="0.3">
      <c r="A30" s="175"/>
      <c r="B30" s="175"/>
      <c r="C30" s="175"/>
      <c r="D30" s="175"/>
      <c r="E30" s="179"/>
      <c r="F30" s="179"/>
      <c r="G30" s="179"/>
      <c r="H30" s="175"/>
      <c r="I30" s="175"/>
    </row>
    <row r="31" spans="1:9" ht="15" x14ac:dyDescent="0.3">
      <c r="A31" s="181"/>
      <c r="B31" s="181"/>
      <c r="C31" s="181" t="s">
        <v>356</v>
      </c>
      <c r="D31" s="181"/>
      <c r="E31" s="181"/>
      <c r="F31" s="181"/>
      <c r="G31" s="181"/>
      <c r="H31" s="175"/>
      <c r="I31" s="175"/>
    </row>
    <row r="32" spans="1:9" ht="15" x14ac:dyDescent="0.3">
      <c r="A32" s="175"/>
      <c r="B32" s="175"/>
      <c r="C32" s="175" t="s">
        <v>355</v>
      </c>
      <c r="D32" s="175"/>
      <c r="E32" s="175"/>
      <c r="F32" s="175"/>
      <c r="G32" s="175"/>
      <c r="H32" s="175"/>
      <c r="I32" s="175"/>
    </row>
    <row r="33" spans="1:7" x14ac:dyDescent="0.2">
      <c r="A33" s="183"/>
      <c r="B33" s="183"/>
      <c r="C33" s="183" t="s">
        <v>127</v>
      </c>
      <c r="D33" s="183"/>
      <c r="E33" s="183"/>
      <c r="F33" s="183"/>
      <c r="G33" s="183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408</v>
      </c>
      <c r="B1" s="75"/>
      <c r="C1" s="75"/>
      <c r="D1" s="75"/>
      <c r="E1" s="75"/>
      <c r="F1" s="75"/>
      <c r="G1" s="481" t="s">
        <v>97</v>
      </c>
      <c r="H1" s="481"/>
      <c r="I1" s="340"/>
    </row>
    <row r="2" spans="1:9" ht="15" x14ac:dyDescent="0.3">
      <c r="A2" s="74" t="s">
        <v>128</v>
      </c>
      <c r="B2" s="75"/>
      <c r="C2" s="75"/>
      <c r="D2" s="75"/>
      <c r="E2" s="75"/>
      <c r="F2" s="75"/>
      <c r="G2" s="471" t="s">
        <v>1112</v>
      </c>
      <c r="H2" s="472"/>
      <c r="I2" s="74"/>
    </row>
    <row r="3" spans="1:9" ht="15" x14ac:dyDescent="0.3">
      <c r="A3" s="74"/>
      <c r="B3" s="74"/>
      <c r="C3" s="74"/>
      <c r="D3" s="74"/>
      <c r="E3" s="74"/>
      <c r="F3" s="74"/>
      <c r="G3" s="244"/>
      <c r="H3" s="244"/>
      <c r="I3" s="340"/>
    </row>
    <row r="4" spans="1:9" ht="15" x14ac:dyDescent="0.3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78" t="str">
        <f>'ფორმა N1'!A5</f>
        <v>მპგ ,, ქართული ოცნება დემოკრატიული საქართველო"</v>
      </c>
      <c r="B5" s="78"/>
      <c r="C5" s="78"/>
      <c r="D5" s="78"/>
      <c r="E5" s="78"/>
      <c r="F5" s="78"/>
      <c r="G5" s="79"/>
      <c r="H5" s="79"/>
      <c r="I5" s="79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2">
      <c r="A7" s="243"/>
      <c r="B7" s="243"/>
      <c r="C7" s="243"/>
      <c r="D7" s="243"/>
      <c r="E7" s="243"/>
      <c r="F7" s="243"/>
      <c r="G7" s="76"/>
      <c r="H7" s="76"/>
      <c r="I7" s="340"/>
    </row>
    <row r="8" spans="1:9" ht="45" x14ac:dyDescent="0.2">
      <c r="A8" s="336" t="s">
        <v>64</v>
      </c>
      <c r="B8" s="77" t="s">
        <v>312</v>
      </c>
      <c r="C8" s="88" t="s">
        <v>313</v>
      </c>
      <c r="D8" s="88" t="s">
        <v>215</v>
      </c>
      <c r="E8" s="88" t="s">
        <v>316</v>
      </c>
      <c r="F8" s="88" t="s">
        <v>315</v>
      </c>
      <c r="G8" s="88" t="s">
        <v>352</v>
      </c>
      <c r="H8" s="77" t="s">
        <v>10</v>
      </c>
      <c r="I8" s="77" t="s">
        <v>9</v>
      </c>
    </row>
    <row r="9" spans="1:9" ht="15" x14ac:dyDescent="0.2">
      <c r="A9" s="337"/>
      <c r="B9" s="338"/>
      <c r="C9" s="96"/>
      <c r="D9" s="96"/>
      <c r="E9" s="96"/>
      <c r="F9" s="96"/>
      <c r="G9" s="96"/>
      <c r="H9" s="4"/>
      <c r="I9" s="4"/>
    </row>
    <row r="10" spans="1:9" ht="15" x14ac:dyDescent="0.2">
      <c r="A10" s="337"/>
      <c r="B10" s="338"/>
      <c r="C10" s="96"/>
      <c r="D10" s="96"/>
      <c r="E10" s="96"/>
      <c r="F10" s="96"/>
      <c r="G10" s="96"/>
      <c r="H10" s="4"/>
      <c r="I10" s="4"/>
    </row>
    <row r="11" spans="1:9" ht="15" x14ac:dyDescent="0.2">
      <c r="A11" s="337"/>
      <c r="B11" s="338"/>
      <c r="C11" s="85"/>
      <c r="D11" s="85"/>
      <c r="E11" s="85"/>
      <c r="F11" s="85"/>
      <c r="G11" s="85"/>
      <c r="H11" s="4"/>
      <c r="I11" s="4"/>
    </row>
    <row r="12" spans="1:9" ht="15" x14ac:dyDescent="0.2">
      <c r="A12" s="337"/>
      <c r="B12" s="338"/>
      <c r="C12" s="85"/>
      <c r="D12" s="85"/>
      <c r="E12" s="85"/>
      <c r="F12" s="85"/>
      <c r="G12" s="85"/>
      <c r="H12" s="4"/>
      <c r="I12" s="4"/>
    </row>
    <row r="13" spans="1:9" ht="15" x14ac:dyDescent="0.2">
      <c r="A13" s="337"/>
      <c r="B13" s="338"/>
      <c r="C13" s="85"/>
      <c r="D13" s="85"/>
      <c r="E13" s="85"/>
      <c r="F13" s="85"/>
      <c r="G13" s="85"/>
      <c r="H13" s="4"/>
      <c r="I13" s="4"/>
    </row>
    <row r="14" spans="1:9" ht="15" x14ac:dyDescent="0.2">
      <c r="A14" s="337"/>
      <c r="B14" s="338"/>
      <c r="C14" s="85"/>
      <c r="D14" s="85"/>
      <c r="E14" s="85"/>
      <c r="F14" s="85"/>
      <c r="G14" s="85"/>
      <c r="H14" s="4"/>
      <c r="I14" s="4"/>
    </row>
    <row r="15" spans="1:9" ht="15" x14ac:dyDescent="0.2">
      <c r="A15" s="337"/>
      <c r="B15" s="338"/>
      <c r="C15" s="85"/>
      <c r="D15" s="85"/>
      <c r="E15" s="85"/>
      <c r="F15" s="85"/>
      <c r="G15" s="85"/>
      <c r="H15" s="4"/>
      <c r="I15" s="4"/>
    </row>
    <row r="16" spans="1:9" ht="15" x14ac:dyDescent="0.3">
      <c r="A16" s="337"/>
      <c r="B16" s="339"/>
      <c r="C16" s="97"/>
      <c r="D16" s="97"/>
      <c r="E16" s="97"/>
      <c r="F16" s="97"/>
      <c r="G16" s="97" t="s">
        <v>311</v>
      </c>
      <c r="H16" s="84">
        <f>SUM(H9:H15)</f>
        <v>0</v>
      </c>
      <c r="I16" s="84">
        <f>SUM(I9:I15)</f>
        <v>0</v>
      </c>
    </row>
    <row r="17" spans="1:8" ht="15" x14ac:dyDescent="0.3">
      <c r="A17" s="44"/>
      <c r="B17" s="44"/>
      <c r="C17" s="44"/>
      <c r="D17" s="44"/>
      <c r="E17" s="44"/>
      <c r="F17" s="44"/>
      <c r="G17" s="2"/>
      <c r="H17" s="2"/>
    </row>
    <row r="18" spans="1:8" ht="15" x14ac:dyDescent="0.3">
      <c r="A18" s="191" t="s">
        <v>409</v>
      </c>
      <c r="B18" s="44"/>
      <c r="C18" s="44"/>
      <c r="D18" s="44"/>
      <c r="E18" s="44"/>
      <c r="F18" s="44"/>
      <c r="G18" s="2"/>
      <c r="H18" s="2"/>
    </row>
    <row r="19" spans="1:8" ht="15" x14ac:dyDescent="0.3">
      <c r="A19" s="191"/>
      <c r="B19" s="44"/>
      <c r="C19" s="44"/>
      <c r="D19" s="44"/>
      <c r="E19" s="44"/>
      <c r="F19" s="44"/>
      <c r="G19" s="2"/>
      <c r="H19" s="2"/>
    </row>
    <row r="20" spans="1:8" ht="15" x14ac:dyDescent="0.3">
      <c r="A20" s="191"/>
      <c r="B20" s="2"/>
      <c r="C20" s="2"/>
      <c r="D20" s="2"/>
      <c r="E20" s="2"/>
      <c r="F20" s="2"/>
      <c r="G20" s="2"/>
      <c r="H20" s="2"/>
    </row>
    <row r="21" spans="1:8" ht="15" x14ac:dyDescent="0.3">
      <c r="A21" s="191"/>
      <c r="B21" s="2"/>
      <c r="C21" s="2"/>
      <c r="D21" s="2"/>
      <c r="E21" s="2"/>
      <c r="F21" s="2"/>
      <c r="G21" s="2"/>
      <c r="H21" s="2"/>
    </row>
    <row r="22" spans="1:8" x14ac:dyDescent="0.2">
      <c r="A22" s="23"/>
      <c r="B22" s="23"/>
      <c r="C22" s="23"/>
      <c r="D22" s="23"/>
      <c r="E22" s="23"/>
      <c r="F22" s="23"/>
      <c r="G22" s="23"/>
      <c r="H22" s="23"/>
    </row>
    <row r="23" spans="1:8" ht="15" x14ac:dyDescent="0.3">
      <c r="A23" s="67" t="s">
        <v>96</v>
      </c>
      <c r="B23" s="2"/>
      <c r="C23" s="2"/>
      <c r="D23" s="2"/>
      <c r="E23" s="2"/>
      <c r="F23" s="2"/>
      <c r="G23" s="2"/>
      <c r="H23" s="2"/>
    </row>
    <row r="24" spans="1:8" ht="15" x14ac:dyDescent="0.3">
      <c r="A24" s="2"/>
      <c r="B24" s="2"/>
      <c r="C24" s="2"/>
      <c r="D24" s="2"/>
      <c r="E24" s="2"/>
      <c r="F24" s="2"/>
      <c r="G24" s="2"/>
      <c r="H24" s="2"/>
    </row>
    <row r="25" spans="1:8" ht="15" x14ac:dyDescent="0.3">
      <c r="A25" s="2"/>
      <c r="B25" s="2"/>
      <c r="C25" s="2"/>
      <c r="D25" s="2"/>
      <c r="E25" s="2"/>
      <c r="F25" s="2"/>
      <c r="G25" s="2"/>
      <c r="H25" s="12"/>
    </row>
    <row r="26" spans="1:8" ht="15" x14ac:dyDescent="0.3">
      <c r="A26" s="67"/>
      <c r="B26" s="67" t="s">
        <v>254</v>
      </c>
      <c r="C26" s="67"/>
      <c r="D26" s="67"/>
      <c r="E26" s="67"/>
      <c r="F26" s="67"/>
      <c r="G26" s="2"/>
      <c r="H26" s="12"/>
    </row>
    <row r="27" spans="1:8" ht="15" x14ac:dyDescent="0.3">
      <c r="A27" s="2"/>
      <c r="B27" s="2" t="s">
        <v>253</v>
      </c>
      <c r="C27" s="2"/>
      <c r="D27" s="2"/>
      <c r="E27" s="2"/>
      <c r="F27" s="2"/>
      <c r="G27" s="2"/>
      <c r="H27" s="12"/>
    </row>
    <row r="28" spans="1:8" x14ac:dyDescent="0.2">
      <c r="A28" s="64"/>
      <c r="B28" s="64" t="s">
        <v>127</v>
      </c>
      <c r="C28" s="64"/>
      <c r="D28" s="64"/>
      <c r="E28" s="64"/>
      <c r="F28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BreakPreview" zoomScale="80" zoomScaleSheetLayoutView="80" workbookViewId="0">
      <selection activeCell="A24" sqref="A24"/>
    </sheetView>
  </sheetViews>
  <sheetFormatPr defaultColWidth="9.140625" defaultRowHeight="12.75" x14ac:dyDescent="0.2"/>
  <cols>
    <col min="1" max="1" width="5.42578125" style="176" customWidth="1"/>
    <col min="2" max="2" width="13.140625" style="176" customWidth="1"/>
    <col min="3" max="3" width="15.140625" style="176" customWidth="1"/>
    <col min="4" max="4" width="18" style="176" customWidth="1"/>
    <col min="5" max="5" width="20.5703125" style="176" customWidth="1"/>
    <col min="6" max="6" width="21.28515625" style="176" customWidth="1"/>
    <col min="7" max="7" width="15.140625" style="176" customWidth="1"/>
    <col min="8" max="8" width="15.5703125" style="176" customWidth="1"/>
    <col min="9" max="9" width="13.42578125" style="176" customWidth="1"/>
    <col min="10" max="10" width="0" style="176" hidden="1" customWidth="1"/>
    <col min="11" max="16384" width="9.140625" style="176"/>
  </cols>
  <sheetData>
    <row r="1" spans="1:10" ht="15" x14ac:dyDescent="0.3">
      <c r="A1" s="72" t="s">
        <v>410</v>
      </c>
      <c r="B1" s="72"/>
      <c r="C1" s="75"/>
      <c r="D1" s="75"/>
      <c r="E1" s="75"/>
      <c r="F1" s="75"/>
      <c r="G1" s="481" t="s">
        <v>97</v>
      </c>
      <c r="H1" s="481"/>
    </row>
    <row r="2" spans="1:10" ht="15" x14ac:dyDescent="0.3">
      <c r="A2" s="74" t="s">
        <v>128</v>
      </c>
      <c r="B2" s="72"/>
      <c r="C2" s="75"/>
      <c r="D2" s="75"/>
      <c r="E2" s="75"/>
      <c r="F2" s="75"/>
      <c r="G2" s="471" t="s">
        <v>1112</v>
      </c>
      <c r="H2" s="472"/>
    </row>
    <row r="3" spans="1:10" ht="15" x14ac:dyDescent="0.3">
      <c r="A3" s="74"/>
      <c r="B3" s="74"/>
      <c r="C3" s="74"/>
      <c r="D3" s="74"/>
      <c r="E3" s="74"/>
      <c r="F3" s="74"/>
      <c r="G3" s="244"/>
      <c r="H3" s="244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78" t="str">
        <f>'ფორმა N1'!A5</f>
        <v>მპგ ,, ქართული ოცნება დემოკრატიული საქართველო"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243"/>
      <c r="B7" s="243"/>
      <c r="C7" s="243"/>
      <c r="D7" s="243"/>
      <c r="E7" s="243"/>
      <c r="F7" s="243"/>
      <c r="G7" s="76"/>
      <c r="H7" s="76"/>
    </row>
    <row r="8" spans="1:10" ht="30" x14ac:dyDescent="0.2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320</v>
      </c>
      <c r="F8" s="88" t="s">
        <v>314</v>
      </c>
      <c r="G8" s="77" t="s">
        <v>10</v>
      </c>
      <c r="H8" s="77" t="s">
        <v>9</v>
      </c>
      <c r="J8" s="202" t="s">
        <v>319</v>
      </c>
    </row>
    <row r="9" spans="1:10" ht="15" x14ac:dyDescent="0.2">
      <c r="A9" s="96">
        <v>1</v>
      </c>
      <c r="B9" s="96" t="s">
        <v>1137</v>
      </c>
      <c r="C9" s="96" t="s">
        <v>1138</v>
      </c>
      <c r="D9" s="96">
        <v>21001013085</v>
      </c>
      <c r="E9" s="96" t="s">
        <v>319</v>
      </c>
      <c r="F9" s="96" t="s">
        <v>1139</v>
      </c>
      <c r="G9" s="462">
        <v>75</v>
      </c>
      <c r="H9" s="462">
        <v>60</v>
      </c>
      <c r="J9" s="202" t="s">
        <v>0</v>
      </c>
    </row>
    <row r="10" spans="1:10" ht="15" x14ac:dyDescent="0.2">
      <c r="A10" s="96">
        <v>2</v>
      </c>
      <c r="B10" s="96" t="s">
        <v>1140</v>
      </c>
      <c r="C10" s="96" t="s">
        <v>1141</v>
      </c>
      <c r="D10" s="96">
        <v>60001124834</v>
      </c>
      <c r="E10" s="96" t="s">
        <v>319</v>
      </c>
      <c r="F10" s="96" t="s">
        <v>1139</v>
      </c>
      <c r="G10" s="462">
        <v>75</v>
      </c>
      <c r="H10" s="462">
        <v>60</v>
      </c>
      <c r="J10" s="202"/>
    </row>
    <row r="11" spans="1:10" ht="15" x14ac:dyDescent="0.2">
      <c r="A11" s="96">
        <v>3</v>
      </c>
      <c r="B11" s="96" t="s">
        <v>882</v>
      </c>
      <c r="C11" s="96" t="s">
        <v>1142</v>
      </c>
      <c r="D11" s="96">
        <v>21001039366</v>
      </c>
      <c r="E11" s="96" t="s">
        <v>319</v>
      </c>
      <c r="F11" s="96" t="s">
        <v>1139</v>
      </c>
      <c r="G11" s="462">
        <v>50</v>
      </c>
      <c r="H11" s="462">
        <v>40</v>
      </c>
      <c r="J11" s="202"/>
    </row>
    <row r="12" spans="1:10" ht="30" x14ac:dyDescent="0.2">
      <c r="A12" s="96">
        <v>4</v>
      </c>
      <c r="B12" s="96" t="s">
        <v>1143</v>
      </c>
      <c r="C12" s="96" t="s">
        <v>1144</v>
      </c>
      <c r="D12" s="96">
        <v>21001039453</v>
      </c>
      <c r="E12" s="96" t="s">
        <v>319</v>
      </c>
      <c r="F12" s="96" t="s">
        <v>1139</v>
      </c>
      <c r="G12" s="462">
        <v>50</v>
      </c>
      <c r="H12" s="462">
        <v>40</v>
      </c>
      <c r="J12" s="202"/>
    </row>
    <row r="13" spans="1:10" ht="15" x14ac:dyDescent="0.2">
      <c r="A13" s="96">
        <v>5</v>
      </c>
      <c r="B13" s="96" t="s">
        <v>1145</v>
      </c>
      <c r="C13" s="96" t="s">
        <v>1146</v>
      </c>
      <c r="D13" s="96">
        <v>37001052596</v>
      </c>
      <c r="E13" s="96" t="s">
        <v>319</v>
      </c>
      <c r="F13" s="96" t="s">
        <v>1139</v>
      </c>
      <c r="G13" s="462">
        <v>75</v>
      </c>
      <c r="H13" s="462">
        <v>60</v>
      </c>
      <c r="J13" s="202"/>
    </row>
    <row r="14" spans="1:10" ht="15" x14ac:dyDescent="0.2">
      <c r="A14" s="96">
        <v>6</v>
      </c>
      <c r="B14" s="96" t="s">
        <v>1147</v>
      </c>
      <c r="C14" s="96" t="s">
        <v>1148</v>
      </c>
      <c r="D14" s="96">
        <v>37001006907</v>
      </c>
      <c r="E14" s="96" t="s">
        <v>319</v>
      </c>
      <c r="F14" s="96" t="s">
        <v>1139</v>
      </c>
      <c r="G14" s="462">
        <v>75</v>
      </c>
      <c r="H14" s="462">
        <v>60</v>
      </c>
      <c r="J14" s="202"/>
    </row>
    <row r="15" spans="1:10" ht="15" x14ac:dyDescent="0.2">
      <c r="A15" s="96">
        <v>7</v>
      </c>
      <c r="B15" s="96" t="s">
        <v>1149</v>
      </c>
      <c r="C15" s="96" t="s">
        <v>1150</v>
      </c>
      <c r="D15" s="96">
        <v>37001003114</v>
      </c>
      <c r="E15" s="96" t="s">
        <v>319</v>
      </c>
      <c r="F15" s="96" t="s">
        <v>1139</v>
      </c>
      <c r="G15" s="462">
        <v>100</v>
      </c>
      <c r="H15" s="462">
        <v>80</v>
      </c>
      <c r="J15" s="202"/>
    </row>
    <row r="16" spans="1:10" ht="15" x14ac:dyDescent="0.2">
      <c r="A16" s="96">
        <v>8</v>
      </c>
      <c r="B16" s="96" t="s">
        <v>1151</v>
      </c>
      <c r="C16" s="96" t="s">
        <v>1152</v>
      </c>
      <c r="D16" s="96">
        <v>37001009669</v>
      </c>
      <c r="E16" s="96" t="s">
        <v>319</v>
      </c>
      <c r="F16" s="96" t="s">
        <v>1139</v>
      </c>
      <c r="G16" s="462">
        <v>100</v>
      </c>
      <c r="H16" s="462">
        <v>80</v>
      </c>
    </row>
    <row r="17" spans="1:9" ht="15" x14ac:dyDescent="0.2">
      <c r="A17" s="96">
        <v>9</v>
      </c>
      <c r="B17" s="96" t="s">
        <v>1153</v>
      </c>
      <c r="C17" s="96" t="s">
        <v>1154</v>
      </c>
      <c r="D17" s="96">
        <v>37001026589</v>
      </c>
      <c r="E17" s="96" t="s">
        <v>319</v>
      </c>
      <c r="F17" s="96" t="s">
        <v>1139</v>
      </c>
      <c r="G17" s="462">
        <v>100</v>
      </c>
      <c r="H17" s="462">
        <v>80</v>
      </c>
    </row>
    <row r="18" spans="1:9" ht="30" x14ac:dyDescent="0.2">
      <c r="A18" s="96">
        <v>10</v>
      </c>
      <c r="B18" s="96" t="s">
        <v>886</v>
      </c>
      <c r="C18" s="96" t="s">
        <v>1155</v>
      </c>
      <c r="D18" s="96">
        <v>37001009857</v>
      </c>
      <c r="E18" s="96" t="s">
        <v>319</v>
      </c>
      <c r="F18" s="96" t="s">
        <v>1139</v>
      </c>
      <c r="G18" s="462">
        <v>100</v>
      </c>
      <c r="H18" s="462">
        <v>80</v>
      </c>
    </row>
    <row r="19" spans="1:9" ht="15" x14ac:dyDescent="0.2">
      <c r="A19" s="96">
        <v>11</v>
      </c>
      <c r="B19" s="96" t="s">
        <v>1156</v>
      </c>
      <c r="C19" s="96" t="s">
        <v>1157</v>
      </c>
      <c r="D19" s="96">
        <v>37001000590</v>
      </c>
      <c r="E19" s="96" t="s">
        <v>319</v>
      </c>
      <c r="F19" s="96" t="s">
        <v>1139</v>
      </c>
      <c r="G19" s="462">
        <v>100</v>
      </c>
      <c r="H19" s="462">
        <v>80</v>
      </c>
    </row>
    <row r="20" spans="1:9" ht="15" x14ac:dyDescent="0.2">
      <c r="A20" s="85"/>
      <c r="B20" s="85"/>
      <c r="C20" s="85"/>
      <c r="D20" s="85"/>
      <c r="E20" s="85"/>
      <c r="F20" s="85"/>
      <c r="G20" s="4"/>
      <c r="H20" s="4"/>
    </row>
    <row r="21" spans="1:9" ht="15" x14ac:dyDescent="0.2">
      <c r="A21" s="85"/>
      <c r="B21" s="85"/>
      <c r="C21" s="85"/>
      <c r="D21" s="85"/>
      <c r="E21" s="85"/>
      <c r="F21" s="85"/>
      <c r="G21" s="4"/>
      <c r="H21" s="4"/>
    </row>
    <row r="22" spans="1:9" ht="15" x14ac:dyDescent="0.3">
      <c r="A22" s="85"/>
      <c r="B22" s="97"/>
      <c r="C22" s="97"/>
      <c r="D22" s="97"/>
      <c r="E22" s="97"/>
      <c r="F22" s="97" t="s">
        <v>318</v>
      </c>
      <c r="G22" s="84">
        <f>SUM(G9:G21)</f>
        <v>900</v>
      </c>
      <c r="H22" s="84">
        <f>SUM(H9:H21)</f>
        <v>720</v>
      </c>
    </row>
    <row r="23" spans="1:9" ht="15" x14ac:dyDescent="0.3">
      <c r="A23" s="200"/>
      <c r="B23" s="200"/>
      <c r="C23" s="200"/>
      <c r="D23" s="200"/>
      <c r="E23" s="200"/>
      <c r="F23" s="200"/>
      <c r="G23" s="200"/>
      <c r="H23" s="175"/>
      <c r="I23" s="175"/>
    </row>
    <row r="24" spans="1:9" ht="15" x14ac:dyDescent="0.3">
      <c r="A24" s="201" t="s">
        <v>411</v>
      </c>
      <c r="B24" s="201"/>
      <c r="C24" s="200"/>
      <c r="D24" s="200"/>
      <c r="E24" s="200"/>
      <c r="F24" s="200"/>
      <c r="G24" s="200"/>
      <c r="H24" s="175"/>
      <c r="I24" s="175"/>
    </row>
    <row r="25" spans="1:9" ht="15" x14ac:dyDescent="0.3">
      <c r="A25" s="201"/>
      <c r="B25" s="201"/>
      <c r="C25" s="200"/>
      <c r="D25" s="200"/>
      <c r="E25" s="200"/>
      <c r="F25" s="200"/>
      <c r="G25" s="200"/>
      <c r="H25" s="175"/>
      <c r="I25" s="175"/>
    </row>
    <row r="26" spans="1:9" ht="15" x14ac:dyDescent="0.3">
      <c r="A26" s="201"/>
      <c r="B26" s="201"/>
      <c r="C26" s="175"/>
      <c r="D26" s="175"/>
      <c r="E26" s="175"/>
      <c r="F26" s="175"/>
      <c r="G26" s="175"/>
      <c r="H26" s="175"/>
      <c r="I26" s="175"/>
    </row>
    <row r="27" spans="1:9" ht="15" x14ac:dyDescent="0.3">
      <c r="A27" s="201"/>
      <c r="B27" s="201"/>
      <c r="C27" s="175"/>
      <c r="D27" s="175"/>
      <c r="E27" s="175"/>
      <c r="F27" s="175"/>
      <c r="G27" s="175"/>
      <c r="H27" s="175"/>
      <c r="I27" s="175"/>
    </row>
    <row r="28" spans="1:9" x14ac:dyDescent="0.2">
      <c r="A28" s="198"/>
      <c r="B28" s="198"/>
      <c r="C28" s="198"/>
      <c r="D28" s="198"/>
      <c r="E28" s="198"/>
      <c r="F28" s="198"/>
      <c r="G28" s="198"/>
      <c r="H28" s="198"/>
      <c r="I28" s="198"/>
    </row>
    <row r="29" spans="1:9" ht="15" x14ac:dyDescent="0.3">
      <c r="A29" s="181" t="s">
        <v>96</v>
      </c>
      <c r="B29" s="181"/>
      <c r="C29" s="175"/>
      <c r="D29" s="175"/>
      <c r="E29" s="175"/>
      <c r="F29" s="175"/>
      <c r="G29" s="175"/>
      <c r="H29" s="175"/>
      <c r="I29" s="175"/>
    </row>
    <row r="30" spans="1:9" ht="15" x14ac:dyDescent="0.3">
      <c r="A30" s="175"/>
      <c r="B30" s="175"/>
      <c r="C30" s="175"/>
      <c r="D30" s="175"/>
      <c r="E30" s="175"/>
      <c r="F30" s="175"/>
      <c r="G30" s="175"/>
      <c r="H30" s="175"/>
      <c r="I30" s="175"/>
    </row>
    <row r="31" spans="1:9" ht="15" x14ac:dyDescent="0.3">
      <c r="A31" s="175"/>
      <c r="B31" s="175"/>
      <c r="C31" s="175"/>
      <c r="D31" s="175"/>
      <c r="E31" s="175"/>
      <c r="F31" s="175"/>
      <c r="G31" s="175"/>
      <c r="H31" s="175"/>
      <c r="I31" s="182"/>
    </row>
    <row r="32" spans="1:9" ht="15" x14ac:dyDescent="0.3">
      <c r="A32" s="181"/>
      <c r="B32" s="181"/>
      <c r="C32" s="181" t="s">
        <v>376</v>
      </c>
      <c r="D32" s="181"/>
      <c r="E32" s="200"/>
      <c r="F32" s="181"/>
      <c r="G32" s="181"/>
      <c r="H32" s="175"/>
      <c r="I32" s="182"/>
    </row>
    <row r="33" spans="1:9" ht="15" x14ac:dyDescent="0.3">
      <c r="A33" s="175"/>
      <c r="B33" s="175"/>
      <c r="C33" s="175" t="s">
        <v>253</v>
      </c>
      <c r="D33" s="175"/>
      <c r="E33" s="175"/>
      <c r="F33" s="175"/>
      <c r="G33" s="175"/>
      <c r="H33" s="175"/>
      <c r="I33" s="182"/>
    </row>
    <row r="34" spans="1:9" x14ac:dyDescent="0.2">
      <c r="A34" s="183"/>
      <c r="B34" s="183"/>
      <c r="C34" s="183" t="s">
        <v>127</v>
      </c>
      <c r="D34" s="183"/>
      <c r="E34" s="183"/>
      <c r="F34" s="183"/>
      <c r="G34" s="183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2018-11-27T14:15:10Z</cp:lastPrinted>
  <dcterms:created xsi:type="dcterms:W3CDTF">2011-12-27T13:20:18Z</dcterms:created>
  <dcterms:modified xsi:type="dcterms:W3CDTF">2018-11-28T11:02:46Z</dcterms:modified>
</cp:coreProperties>
</file>